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23040" windowHeight="10845" tabRatio="551" activeTab="0"/>
  </bookViews>
  <sheets>
    <sheet name="Predicted B-C" sheetId="1" r:id="rId1"/>
    <sheet name="Post Eval Input" sheetId="2" r:id="rId2"/>
    <sheet name="Post-Eval ARF" sheetId="3" r:id="rId3"/>
    <sheet name="Post-Eval B-C" sheetId="4" r:id="rId4"/>
    <sheet name="Ann Rpt-Input,Link" sheetId="5" r:id="rId5"/>
    <sheet name="Sheet1" sheetId="6" r:id="rId6"/>
  </sheets>
  <definedNames>
    <definedName name="_xlfn.SINGLE" hidden="1">#NAME?</definedName>
    <definedName name="_xlnm.Print_Area" localSheetId="4">'Ann Rpt-Input,Link'!$A$13:$AW$45</definedName>
    <definedName name="_xlnm.Print_Area" localSheetId="1">'Post Eval Input'!$B$2:$AE$57</definedName>
    <definedName name="_xlnm.Print_Area" localSheetId="2">'Post-Eval ARF'!$B$2:$V$42</definedName>
    <definedName name="_xlnm.Print_Area" localSheetId="3">'Post-Eval B-C'!$B$2:$J$41</definedName>
    <definedName name="_xlnm.Print_Area" localSheetId="0">'Predicted B-C'!$B$2:$W$60</definedName>
    <definedName name="Z_1F9DB6C6_1594_47DC_877A_159C8060A987_.wvu.FilterData" localSheetId="4" hidden="1">'Ann Rpt-Input,Link'!$E$5</definedName>
    <definedName name="Z_1F9DB6C6_1594_47DC_877A_159C8060A987_.wvu.PrintArea" localSheetId="4" hidden="1">'Ann Rpt-Input,Link'!$A$13:$AW$45</definedName>
    <definedName name="Z_1F9DB6C6_1594_47DC_877A_159C8060A987_.wvu.PrintArea" localSheetId="1" hidden="1">'Post Eval Input'!$B$2:$AE$57</definedName>
    <definedName name="Z_1F9DB6C6_1594_47DC_877A_159C8060A987_.wvu.PrintArea" localSheetId="2" hidden="1">'Post-Eval ARF'!$B$2:$V$42</definedName>
    <definedName name="Z_1F9DB6C6_1594_47DC_877A_159C8060A987_.wvu.PrintArea" localSheetId="3" hidden="1">'Post-Eval B-C'!$B$2:$J$41</definedName>
    <definedName name="Z_1F9DB6C6_1594_47DC_877A_159C8060A987_.wvu.PrintArea" localSheetId="0" hidden="1">'Predicted B-C'!$B$2:$W$60</definedName>
    <definedName name="Z_C48C187A_7B2A_4663_874C_EA14BAA09308_.wvu.FilterData" localSheetId="4" hidden="1">'Ann Rpt-Input,Link'!$E$5</definedName>
    <definedName name="Z_C48C187A_7B2A_4663_874C_EA14BAA09308_.wvu.PrintArea" localSheetId="4" hidden="1">'Ann Rpt-Input,Link'!$A$13:$AW$45</definedName>
    <definedName name="Z_C48C187A_7B2A_4663_874C_EA14BAA09308_.wvu.PrintArea" localSheetId="1" hidden="1">'Post Eval Input'!$B$2:$AE$51</definedName>
    <definedName name="Z_C48C187A_7B2A_4663_874C_EA14BAA09308_.wvu.PrintArea" localSheetId="2" hidden="1">'Post-Eval ARF'!$B$2:$V$42</definedName>
    <definedName name="Z_C48C187A_7B2A_4663_874C_EA14BAA09308_.wvu.PrintArea" localSheetId="3" hidden="1">'Post-Eval B-C'!$B$2:$J$41</definedName>
    <definedName name="Z_C48C187A_7B2A_4663_874C_EA14BAA09308_.wvu.PrintArea" localSheetId="0" hidden="1">'Predicted B-C'!$B$2:$W$60</definedName>
  </definedNames>
  <calcPr fullCalcOnLoad="1"/>
</workbook>
</file>

<file path=xl/comments1.xml><?xml version="1.0" encoding="utf-8"?>
<comments xmlns="http://schemas.openxmlformats.org/spreadsheetml/2006/main">
  <authors>
    <author>KurtS</author>
    <author>Jefferson C. Jeffers</author>
  </authors>
  <commentList>
    <comment ref="V11" authorId="0">
      <text>
        <r>
          <rPr>
            <b/>
            <sz val="9"/>
            <rFont val="Tahoma"/>
            <family val="2"/>
          </rPr>
          <t>KurtS:</t>
        </r>
        <r>
          <rPr>
            <sz val="9"/>
            <rFont val="Tahoma"/>
            <family val="2"/>
          </rPr>
          <t xml:space="preserve">
See Accident Cost Derivation Worksheet
</t>
        </r>
      </text>
    </comment>
    <comment ref="G48" authorId="1">
      <text>
        <r>
          <rPr>
            <b/>
            <sz val="9"/>
            <rFont val="Tahoma"/>
            <family val="2"/>
          </rPr>
          <t>jcjeffers:</t>
        </r>
        <r>
          <rPr>
            <sz val="9"/>
            <rFont val="Tahoma"/>
            <family val="2"/>
          </rPr>
          <t xml:space="preserve">
Cost weighted average = 
($1*Yr1 +$2*Yr2+$3*Yr3+$4*Yr4)/($1+…+$4)</t>
        </r>
      </text>
    </comment>
  </commentList>
</comments>
</file>

<file path=xl/comments2.xml><?xml version="1.0" encoding="utf-8"?>
<comments xmlns="http://schemas.openxmlformats.org/spreadsheetml/2006/main">
  <authors>
    <author>KurtS</author>
    <author>jcjeffers</author>
  </authors>
  <commentList>
    <comment ref="E19" authorId="0">
      <text>
        <r>
          <rPr>
            <b/>
            <sz val="9"/>
            <rFont val="Tahoma"/>
            <family val="2"/>
          </rPr>
          <t>KurtS:</t>
        </r>
        <r>
          <rPr>
            <sz val="9"/>
            <rFont val="Tahoma"/>
            <family val="2"/>
          </rPr>
          <t xml:space="preserve">
NOTE: All periods (analysis, interim, and after) should cover whole years to avoid seasonal data bias.</t>
        </r>
      </text>
    </comment>
    <comment ref="F19" authorId="0">
      <text>
        <r>
          <rPr>
            <b/>
            <sz val="9"/>
            <rFont val="Tahoma"/>
            <family val="2"/>
          </rPr>
          <t>KurtS:</t>
        </r>
        <r>
          <rPr>
            <sz val="9"/>
            <rFont val="Tahoma"/>
            <family val="2"/>
          </rPr>
          <t xml:space="preserve">
NOTE: All periods (analysis, interim, and after) should cover whole years to avoid seasonal data bias.</t>
        </r>
      </text>
    </comment>
    <comment ref="AD11" authorId="0">
      <text>
        <r>
          <rPr>
            <b/>
            <sz val="9"/>
            <rFont val="Tahoma"/>
            <family val="2"/>
          </rPr>
          <t>KurtS:</t>
        </r>
        <r>
          <rPr>
            <sz val="9"/>
            <rFont val="Tahoma"/>
            <family val="2"/>
          </rPr>
          <t xml:space="preserve">
See Accident Cost Derivation Worksheet</t>
        </r>
      </text>
    </comment>
    <comment ref="AA20" authorId="1">
      <text>
        <r>
          <rPr>
            <b/>
            <sz val="9"/>
            <rFont val="Tahoma"/>
            <family val="2"/>
          </rPr>
          <t xml:space="preserve">jcjeffers (01/27/2011):
Set Trend to 0% in the absence of a significant change in area-wide crash rate between the Before/Interim period and the After period.
</t>
        </r>
        <r>
          <rPr>
            <sz val="9"/>
            <rFont val="Tahoma"/>
            <family val="2"/>
          </rPr>
          <t xml:space="preserve">
Trend adjusts computation of Accident Rate Reduction Factor and Accident Cost Reduction Factor to account for area-wide changes in crash rate between the Before/Interim period and the After period.  
Trend is computed as the percent change in area-wide crash rate between the "before/interim" and "after" periods, then applied as [Accident Rate / (1-Trend)] on the Post-Eval ARF tab.  It is also used to adjust Accident Cost Reduction on the Post-Eval B-C tab.
A positive trend value (reflecting an area-wide increase in crash rate over the analysis period) will increase reduction factors, indicating a safety effect greater than the reduction in crashes alone would dictate.  A negative trend (reflecting an area-wide reduction in crash rate) will have the opposite effect.
Trend should be used only if the user is comfortable that an understandable change in crash rate has occurred, which the user wishes to include when computing Accident Reduction Factors.  Otherwise, use 0%.
Factors to consider if contemplating applying Trend in an analysis:
o - HSIP methodology uses historical crashes and estimated crash reduction factors to predict crash reduction due to applied countermeasures.  We further use estimated crash costs to evaluate predicted and actual results.  Minor adjustments in results, such as by Trend values, may overstate the accuracy of the process as a whole. 
o - Crash rates in Alaska are generally developed from small numbers of crashes, so crash rates are volitile - a change of a relatively few crashes can result in a significant change in crash rate, particularly where traffic volumes are also low.
o - Total crashes are used to compute crash rates, and reported crashes have declined in recent years.  The reduction is total crashes is not widely accepted as a true reflection of actual crashes.  One contributing factor to this decline is thought to be changes to reporting thresholds of police agencies.
o - Countermeasure reduction factors are directed at crashes susceptible to correction, but Trend adjusts reduction factors based on all crashes, as if target crashes are uniformly distributed. </t>
        </r>
      </text>
    </comment>
  </commentList>
</comments>
</file>

<file path=xl/comments3.xml><?xml version="1.0" encoding="utf-8"?>
<comments xmlns="http://schemas.openxmlformats.org/spreadsheetml/2006/main">
  <authors>
    <author>KurtS</author>
    <author>jcjeffers</author>
  </authors>
  <commentList>
    <comment ref="R12" authorId="0">
      <text>
        <r>
          <rPr>
            <b/>
            <sz val="9"/>
            <rFont val="Tahoma"/>
            <family val="2"/>
          </rPr>
          <t>KurtS:</t>
        </r>
        <r>
          <rPr>
            <sz val="9"/>
            <rFont val="Tahoma"/>
            <family val="2"/>
          </rPr>
          <t xml:space="preserve">
Lower Line: Poisson Distribution Test.  Upper Line: Poisson Comparison of Means Test.  If the change in accident rate falls between the lines, a "?" is displayed.  Both tests are based on a 95% level of confidence.  
Source: NCHRP 162, page 82.</t>
        </r>
      </text>
    </comment>
    <comment ref="Q22" authorId="0">
      <text>
        <r>
          <rPr>
            <b/>
            <sz val="9"/>
            <rFont val="Tahoma"/>
            <family val="2"/>
          </rPr>
          <t xml:space="preserve">jcjeffers:
</t>
        </r>
        <r>
          <rPr>
            <sz val="9"/>
            <rFont val="Tahoma"/>
            <family val="2"/>
          </rPr>
          <t>Tests change in Acc/year using modified binominal test proposed by Weed (1986) and recommended by Kinney (2009, pg 124-125 "Review of Crash Reduction Factors (CRF) for Use in the Highway Safety Improvement Program Handbook", ADOT/PF Research)
Decreases and Increases are determined by the sign of the computed change in accidents/year after being adjusted for volume as shown in  Column P, "Adj for Vol."
Decreases are significant if greater than = 2.0657*(Absolute Value of "Adj for Vol")^(-0.4726)
Increases are significant if greater than = 3.7137*(Absolute Value of "Adj for Vol"r)^(-0.5743)
See the chart to the right for an illustration of the curves and formulae.</t>
        </r>
      </text>
    </comment>
    <comment ref="U20" authorId="0">
      <text>
        <r>
          <rPr>
            <b/>
            <sz val="9"/>
            <rFont val="Tahoma"/>
            <family val="2"/>
          </rPr>
          <t>KurtS:</t>
        </r>
        <r>
          <rPr>
            <sz val="9"/>
            <rFont val="Tahoma"/>
            <family val="2"/>
          </rPr>
          <t xml:space="preserve">
Accident Cost Reduction Factors are more important than Accident Rate Reduction Factors because they indicate severity.  They are used to rank potential safety projects. </t>
        </r>
      </text>
    </comment>
    <comment ref="J11" authorId="0">
      <text>
        <r>
          <rPr>
            <b/>
            <sz val="9"/>
            <rFont val="Tahoma"/>
            <family val="2"/>
          </rPr>
          <t>KurtS:</t>
        </r>
        <r>
          <rPr>
            <sz val="9"/>
            <rFont val="Tahoma"/>
            <family val="2"/>
          </rPr>
          <t xml:space="preserve">
Accident Rate:  For intersections this means accidents per million entering vehicles.  For segments, it means per million vehicle miles.  </t>
        </r>
      </text>
    </comment>
    <comment ref="L11" authorId="0">
      <text>
        <r>
          <rPr>
            <b/>
            <sz val="9"/>
            <rFont val="Tahoma"/>
            <family val="2"/>
          </rPr>
          <t>KurtS:</t>
        </r>
        <r>
          <rPr>
            <sz val="9"/>
            <rFont val="Tahoma"/>
            <family val="2"/>
          </rPr>
          <t xml:space="preserve">
Accident Cost per vehicle:  For intersections this means per entering vehicle.  For segments, it means per vehicle mile.  </t>
        </r>
      </text>
    </comment>
    <comment ref="X21" authorId="1">
      <text>
        <r>
          <rPr>
            <b/>
            <sz val="9"/>
            <rFont val="Tahoma"/>
            <family val="2"/>
          </rPr>
          <t>jcjeffers:</t>
        </r>
        <r>
          <rPr>
            <sz val="9"/>
            <rFont val="Tahoma"/>
            <family val="2"/>
          </rPr>
          <t xml:space="preserve">
Tests change in Acc/year using modified binominal test proposed by Weed (1986) and recommended by Kinney (2009, pg 124-125 "Review of Crash Reduction Factors (CRF) for Use in the Highway Safety Improvement Program Handbook", ADOT/PF Research)
Decreases and Increases are determined by the sign of the computed change in accidents/year after being adjusted for volume as shown in  Column P, "Adj for Vol."
Decreases are significant if greater than = 2.0657*(Absolute Value of "Adj for Vol")^(-0.4726)
Increases are significant if greater than = 3.7137*(Absolute Value of "Adj for Vol"r)^(-0.5743)
See the chart to the right for an illustration of the curves and formulae.</t>
        </r>
      </text>
    </comment>
    <comment ref="X10" authorId="1">
      <text>
        <r>
          <rPr>
            <b/>
            <sz val="9"/>
            <rFont val="Tahoma"/>
            <family val="2"/>
          </rPr>
          <t>jcjeffers:</t>
        </r>
        <r>
          <rPr>
            <sz val="9"/>
            <rFont val="Tahoma"/>
            <family val="2"/>
          </rPr>
          <t xml:space="preserve">
Tests change in Acc/year using modified binominal test proposed by Weed (1986) and recommended by Kinney (2009, pg 124-125 "Review of Crash Reduction Factors (CRF) for Use in the Highway Safety Improvement Program Handbook", ADOT/PF Research)
Decreases and Increases are determined by the sign of the computed change in accidents/year after being adjusted for volume as shown in  Column P, "Adj for Vol."
Decreases are significant if greater than = 2.0657*(Absolute Value of "Adj for Vol")^(-0.4726)
Increases are significant if greater than = 3.7137*(Absolute Value of "Adj for Vol"r)^(-0.5743)
See the chart to the right for an illustration of the curves and formulae.</t>
        </r>
      </text>
    </comment>
  </commentList>
</comments>
</file>

<file path=xl/comments5.xml><?xml version="1.0" encoding="utf-8"?>
<comments xmlns="http://schemas.openxmlformats.org/spreadsheetml/2006/main">
  <authors>
    <author>Kurt Smith</author>
  </authors>
  <commentList>
    <comment ref="AP16" authorId="0">
      <text>
        <r>
          <rPr>
            <b/>
            <sz val="9"/>
            <rFont val="Tahoma"/>
            <family val="2"/>
          </rPr>
          <t>Kurt Smith:</t>
        </r>
        <r>
          <rPr>
            <sz val="9"/>
            <rFont val="Tahoma"/>
            <family val="2"/>
          </rPr>
          <t xml:space="preserve">
</t>
        </r>
        <r>
          <rPr>
            <sz val="9"/>
            <rFont val="Tahoma"/>
            <family val="2"/>
          </rPr>
          <t>This includes all costs of building the safety improvement, regardless of whether they are HSIP or other funds.</t>
        </r>
      </text>
    </comment>
    <comment ref="M31" authorId="0">
      <text>
        <r>
          <rPr>
            <b/>
            <sz val="9"/>
            <rFont val="Tahoma"/>
            <family val="2"/>
          </rPr>
          <t>Kurt Smith:</t>
        </r>
        <r>
          <rPr>
            <sz val="9"/>
            <rFont val="Tahoma"/>
            <family val="2"/>
          </rPr>
          <t xml:space="preserve">
</t>
        </r>
        <r>
          <rPr>
            <sz val="9"/>
            <rFont val="Tahoma"/>
            <family val="2"/>
          </rPr>
          <t>Sum of accidents susceptible to correction.</t>
        </r>
      </text>
    </comment>
    <comment ref="M30" authorId="0">
      <text>
        <r>
          <rPr>
            <b/>
            <sz val="9"/>
            <rFont val="Tahoma"/>
            <family val="2"/>
          </rPr>
          <t>Kurt Smith:</t>
        </r>
        <r>
          <rPr>
            <sz val="9"/>
            <rFont val="Tahoma"/>
            <family val="2"/>
          </rPr>
          <t xml:space="preserve">
</t>
        </r>
        <r>
          <rPr>
            <sz val="9"/>
            <rFont val="Tahoma"/>
            <family val="2"/>
          </rPr>
          <t xml:space="preserve">This represents ALL accidents at the site, rather than just those susceptible to reduction or increase by particular improvements -  that number is below. </t>
        </r>
      </text>
    </comment>
  </commentList>
</comments>
</file>

<file path=xl/sharedStrings.xml><?xml version="1.0" encoding="utf-8"?>
<sst xmlns="http://schemas.openxmlformats.org/spreadsheetml/2006/main" count="507" uniqueCount="292">
  <si>
    <t>Highway Safety Improvement Program</t>
  </si>
  <si>
    <t>Project Ranking Worksheet</t>
  </si>
  <si>
    <t>Project:</t>
  </si>
  <si>
    <t xml:space="preserve"> </t>
  </si>
  <si>
    <t>Rate of Return:</t>
  </si>
  <si>
    <t>Cost</t>
  </si>
  <si>
    <t>Property Damage Only:</t>
  </si>
  <si>
    <t>Minor Injury:</t>
  </si>
  <si>
    <t>Fatality:</t>
  </si>
  <si>
    <t>PDO</t>
  </si>
  <si>
    <t>Min</t>
  </si>
  <si>
    <t>Maj</t>
  </si>
  <si>
    <t>Fat</t>
  </si>
  <si>
    <t>Improvement</t>
  </si>
  <si>
    <t>Ann</t>
  </si>
  <si>
    <t>Life</t>
  </si>
  <si>
    <t>Benefit</t>
  </si>
  <si>
    <t>M/O</t>
  </si>
  <si>
    <t>of</t>
  </si>
  <si>
    <t>Safety</t>
  </si>
  <si>
    <t>Costs</t>
  </si>
  <si>
    <t>Impvt</t>
  </si>
  <si>
    <t>Benefits</t>
  </si>
  <si>
    <t>(K)</t>
  </si>
  <si>
    <t>Benefits only)</t>
  </si>
  <si>
    <t>Factor</t>
  </si>
  <si>
    <t>Accident</t>
  </si>
  <si>
    <t>Annualized</t>
  </si>
  <si>
    <t>and M&amp;O</t>
  </si>
  <si>
    <t>(Safety and M&amp;O</t>
  </si>
  <si>
    <t>Benefit Cost Formula (Safety and M&amp;O Benefits Only)</t>
  </si>
  <si>
    <t>Miscellaneous Data</t>
  </si>
  <si>
    <t>Subtotals:</t>
  </si>
  <si>
    <t>HSIP Project Effectiveness Evaluation</t>
  </si>
  <si>
    <t>Predicted</t>
  </si>
  <si>
    <t>Change in</t>
  </si>
  <si>
    <t>Reduction</t>
  </si>
  <si>
    <t>(+ or -)</t>
  </si>
  <si>
    <t>Susceptible to Reduction or Increase</t>
  </si>
  <si>
    <t xml:space="preserve">Predicted </t>
  </si>
  <si>
    <t>due to Improvement</t>
  </si>
  <si>
    <t>to Reduction or Increase</t>
  </si>
  <si>
    <t xml:space="preserve">        B/C Ratio =  </t>
  </si>
  <si>
    <t>Period</t>
  </si>
  <si>
    <t>Interim</t>
  </si>
  <si>
    <t>Intersection (I) or Segment (S)</t>
  </si>
  <si>
    <t>Avg</t>
  </si>
  <si>
    <t>Date Construction Began:</t>
  </si>
  <si>
    <t>Begin</t>
  </si>
  <si>
    <t>End</t>
  </si>
  <si>
    <t>No of</t>
  </si>
  <si>
    <t>Years</t>
  </si>
  <si>
    <t>Date</t>
  </si>
  <si>
    <t>If Segment, Length in Miles:</t>
  </si>
  <si>
    <t>2) Before-Interim</t>
  </si>
  <si>
    <t>3) After</t>
  </si>
  <si>
    <t>Percent Change</t>
  </si>
  <si>
    <t>From - To</t>
  </si>
  <si>
    <t>1 to 2</t>
  </si>
  <si>
    <t>2 to 3</t>
  </si>
  <si>
    <t>(1+2) to 3</t>
  </si>
  <si>
    <t>Rate</t>
  </si>
  <si>
    <t>ADT</t>
  </si>
  <si>
    <t>Tot-</t>
  </si>
  <si>
    <t>al</t>
  </si>
  <si>
    <t>1 and 2 Combined</t>
  </si>
  <si>
    <t>Actual B/C (Acc and M&amp;O Benefits Only)</t>
  </si>
  <si>
    <t>Adj</t>
  </si>
  <si>
    <t>Pre-</t>
  </si>
  <si>
    <t>Totals / Averages:</t>
  </si>
  <si>
    <t>Annual M&amp;O Cost or Saving (from HSIP Project Ranking worksheet):</t>
  </si>
  <si>
    <t>Annualized Construction and M&amp;O Costs:</t>
  </si>
  <si>
    <t>Annualized Safety and M&amp;O Benefits</t>
  </si>
  <si>
    <t>Totals/Averages:</t>
  </si>
  <si>
    <t>Total Project Development and Construction Cost:</t>
  </si>
  <si>
    <t>Computation of Actual Benefit/Cost Ratio</t>
  </si>
  <si>
    <t>Trend Control Area:</t>
  </si>
  <si>
    <t>/yr</t>
  </si>
  <si>
    <t>Adj for</t>
  </si>
  <si>
    <t>Trend</t>
  </si>
  <si>
    <t>Vol</t>
  </si>
  <si>
    <t>for</t>
  </si>
  <si>
    <t>Vol &amp;</t>
  </si>
  <si>
    <t>($K)</t>
  </si>
  <si>
    <t>Reduction Factor</t>
  </si>
  <si>
    <t>Total</t>
  </si>
  <si>
    <t>Adj.</t>
  </si>
  <si>
    <t>BEFORE (1+2)</t>
  </si>
  <si>
    <t>per</t>
  </si>
  <si>
    <t>Year</t>
  </si>
  <si>
    <t>Change</t>
  </si>
  <si>
    <t>in</t>
  </si>
  <si>
    <t>dic-</t>
  </si>
  <si>
    <t>ted</t>
  </si>
  <si>
    <t>No</t>
  </si>
  <si>
    <t>AFTER (3)</t>
  </si>
  <si>
    <t>cost/yr</t>
  </si>
  <si>
    <t>Signif-</t>
  </si>
  <si>
    <t>icant?</t>
  </si>
  <si>
    <t>Stat.</t>
  </si>
  <si>
    <t>Significant?</t>
  </si>
  <si>
    <t>Statistically</t>
  </si>
  <si>
    <t>Cost/Veh</t>
  </si>
  <si>
    <t>Cost per</t>
  </si>
  <si>
    <t>Benefit/Cost of Improvements (Safety and M&amp;O Benefits Only)</t>
  </si>
  <si>
    <t>Ent Veh or Veh-Mile</t>
  </si>
  <si>
    <t>from Before Period (1+2)</t>
  </si>
  <si>
    <t>to After Period (3)</t>
  </si>
  <si>
    <t>Rear-ends and side-swipes involving turning cars making the target movement</t>
  </si>
  <si>
    <t>Form Completed by:</t>
  </si>
  <si>
    <t>to</t>
  </si>
  <si>
    <t>Analysis Period:</t>
  </si>
  <si>
    <t>HSIP Project Evaluation Worksheet</t>
  </si>
  <si>
    <t>Predicted:</t>
  </si>
  <si>
    <t>Difference:</t>
  </si>
  <si>
    <t>Annualized Safety and M&amp;O Benefits:</t>
  </si>
  <si>
    <t>Project Benefit-Cost Ratio (Not Including Delay):</t>
  </si>
  <si>
    <t>Actual:</t>
  </si>
  <si>
    <t>Date Project Accepted for Traffic:</t>
  </si>
  <si>
    <t>Construction Project Name:</t>
  </si>
  <si>
    <t>Federal Project Number:</t>
  </si>
  <si>
    <t>Project Identification Data</t>
  </si>
  <si>
    <t xml:space="preserve">Test Construction Project </t>
  </si>
  <si>
    <t>TEST-PROJ-1</t>
  </si>
  <si>
    <t>HSIP Project Name:</t>
  </si>
  <si>
    <t>Const. Project Number (Federal):</t>
  </si>
  <si>
    <t>Const. Project Number (AKSAS):</t>
  </si>
  <si>
    <t>State (AKSAS) Proj. Number:</t>
  </si>
  <si>
    <t>Date:</t>
  </si>
  <si>
    <t>Comparison of Actual vs Predicted</t>
  </si>
  <si>
    <t>Joe Traffic</t>
  </si>
  <si>
    <t>Financial/Time Factors</t>
  </si>
  <si>
    <t>(yrs)</t>
  </si>
  <si>
    <t>Constr.</t>
  </si>
  <si>
    <t>Average Life of Improvement (from Project Ranking worksheet):</t>
  </si>
  <si>
    <t>Rate of Return (from Project Ranking worksheet):</t>
  </si>
  <si>
    <t>Proj</t>
  </si>
  <si>
    <t>Factors for B/C Comps</t>
  </si>
  <si>
    <t>Accident Costs (Smoothed)</t>
  </si>
  <si>
    <t xml:space="preserve">   Property Damage Only:</t>
  </si>
  <si>
    <t xml:space="preserve">   Minor Injury:</t>
  </si>
  <si>
    <t xml:space="preserve">   Fatality:</t>
  </si>
  <si>
    <t>Preliminary Project Description/Planning</t>
  </si>
  <si>
    <t>Project Name</t>
  </si>
  <si>
    <t>Region</t>
  </si>
  <si>
    <t xml:space="preserve"> HSIP Annual Report Year </t>
  </si>
  <si>
    <t>Life of Impvmt (yrs)</t>
  </si>
  <si>
    <t>BEFORE</t>
  </si>
  <si>
    <t>INTERIM (btwn BEFORE &amp; construction)</t>
  </si>
  <si>
    <t>AFTER</t>
  </si>
  <si>
    <t>B/C</t>
  </si>
  <si>
    <t>Minor Injury</t>
  </si>
  <si>
    <t>Fatal</t>
  </si>
  <si>
    <t>Avg. ADT</t>
  </si>
  <si>
    <t>Begin Date</t>
  </si>
  <si>
    <t>End        Date</t>
  </si>
  <si>
    <t>No       of           Yrs</t>
  </si>
  <si>
    <t>Predicted   (1000s)</t>
  </si>
  <si>
    <t>Actual    (1000s)</t>
  </si>
  <si>
    <t>Wtd Average Life of Improvement:</t>
  </si>
  <si>
    <r>
      <t xml:space="preserve">Annual M&amp;O Cost (1000s) </t>
    </r>
    <r>
      <rPr>
        <b/>
        <sz val="8"/>
        <rFont val="Arial"/>
        <family val="2"/>
      </rPr>
      <t>("-" means income)</t>
    </r>
  </si>
  <si>
    <t>Project Cost</t>
  </si>
  <si>
    <t>Pro-rated</t>
  </si>
  <si>
    <t>Trend Usage (Yes/No):</t>
  </si>
  <si>
    <t>Data Table for Trend pulldown</t>
  </si>
  <si>
    <t>(Don't Delete)</t>
  </si>
  <si>
    <t>Actual Cost</t>
  </si>
  <si>
    <t>by predicted cost</t>
  </si>
  <si>
    <t>Total actual cost proportioned</t>
  </si>
  <si>
    <t>Discount Rate:</t>
  </si>
  <si>
    <t>YES</t>
  </si>
  <si>
    <t>NO</t>
  </si>
  <si>
    <t>Calculated Results</t>
  </si>
  <si>
    <t>COST
(from Hdbk)</t>
  </si>
  <si>
    <t>RATE</t>
  </si>
  <si>
    <t>Annualized Method</t>
  </si>
  <si>
    <t>COST (Annualized Method)</t>
  </si>
  <si>
    <t>Calculator will compute with or without Trend data.</t>
  </si>
  <si>
    <t>Factors apply to all projects below.</t>
  </si>
  <si>
    <t>Volume Growth Rate (%):</t>
  </si>
  <si>
    <t>Blank = 0%</t>
  </si>
  <si>
    <t xml:space="preserve"> Location Type - Intersection (I) or Segment (S)</t>
  </si>
  <si>
    <t>Segment Length (in miles),
if applicable</t>
  </si>
  <si>
    <r>
      <t xml:space="preserve">Traffic Volume growth rate during Project Life.  </t>
    </r>
    <r>
      <rPr>
        <sz val="10"/>
        <color indexed="10"/>
        <rFont val="Geneva"/>
        <family val="0"/>
      </rPr>
      <t>Blank = 0%.</t>
    </r>
  </si>
  <si>
    <t>I</t>
  </si>
  <si>
    <t>Improvement 
Type Number</t>
  </si>
  <si>
    <t>Imprv</t>
  </si>
  <si>
    <t>Num</t>
  </si>
  <si>
    <t>Type</t>
  </si>
  <si>
    <t>Intersection Illumination</t>
  </si>
  <si>
    <t>New Traffic Signal</t>
  </si>
  <si>
    <t>Install Lt Turn Pocket at Rural, Unsignalized Intersection (Major Road Approach Only)</t>
  </si>
  <si>
    <t>Please Complete Light Blue Fields before submitting Before-After Results</t>
  </si>
  <si>
    <t>Length of "After" evaluation period (years) (from Post Eval Input worksheet):</t>
  </si>
  <si>
    <t>S</t>
  </si>
  <si>
    <t>Modified Binomial Test</t>
  </si>
  <si>
    <t>Significant</t>
  </si>
  <si>
    <t>DECREASE</t>
  </si>
  <si>
    <t>INCREASE</t>
  </si>
  <si>
    <t>in Crashes</t>
  </si>
  <si>
    <r>
      <t>1) Before (</t>
    </r>
    <r>
      <rPr>
        <sz val="9"/>
        <rFont val="Arial"/>
        <family val="2"/>
      </rPr>
      <t>HSIP Analysis Period)</t>
    </r>
  </si>
  <si>
    <t>HSIP Analysis Period</t>
  </si>
  <si>
    <r>
      <t xml:space="preserve">1) Before </t>
    </r>
    <r>
      <rPr>
        <sz val="9"/>
        <rFont val="Arial"/>
        <family val="2"/>
      </rPr>
      <t>(HSIP Analysis Period)</t>
    </r>
  </si>
  <si>
    <t>THEN</t>
  </si>
  <si>
    <t>ELSE</t>
  </si>
  <si>
    <t xml:space="preserve">THEN </t>
  </si>
  <si>
    <t>ELSE  Write  "NO"</t>
  </si>
  <si>
    <t>Test  change in crashes</t>
  </si>
  <si>
    <t>If there is a value to test</t>
  </si>
  <si>
    <t>"Yes" -  if Significant and In Line with expectations</t>
  </si>
  <si>
    <t>"No"  -  if not Significant</t>
  </si>
  <si>
    <t>Was change In Line with Expecations?</t>
  </si>
  <si>
    <t>Fewer crashes than before</t>
  </si>
  <si>
    <t>More crashes than before</t>
  </si>
  <si>
    <t>Is change in crashes Significant?</t>
  </si>
  <si>
    <t>No value to test - write blank cell</t>
  </si>
  <si>
    <t>STEP NOTES</t>
  </si>
  <si>
    <t>SIGNIFICANCE TEST  LOGIC  (COLUMN Q)</t>
  </si>
  <si>
    <t>IF "ARRF Adj for Vol" is non-zero and non-"blank"</t>
  </si>
  <si>
    <t xml:space="preserve">IF "ARRF Adj for Vol"&lt;0 </t>
  </si>
  <si>
    <t>IF ABS(ARRF Adj for Vol) &gt;= Mod Bin DECR curve</t>
  </si>
  <si>
    <t>IF ABS(ARRF Adj for Vol) &gt;= Mod Bin INCR curve</t>
  </si>
  <si>
    <t>THEN   Write "YES"</t>
  </si>
  <si>
    <t>THEN  Write "YES"</t>
  </si>
  <si>
    <t>Write "" (blank cell)</t>
  </si>
  <si>
    <t>Due to Improvement</t>
  </si>
  <si>
    <t>ELSE   Write  "N/A"</t>
  </si>
  <si>
    <t>"N/A" -  if Significant and Out of Line with expectations</t>
  </si>
  <si>
    <t>IF sign of "CRF" equals sign of "ARRF Adj for Vol"</t>
  </si>
  <si>
    <t>Mjr City / Borough</t>
  </si>
  <si>
    <t>Suggestion</t>
  </si>
  <si>
    <t>Combined Effects of Multiple Countermeasures</t>
  </si>
  <si>
    <t>Apirl 2014</t>
  </si>
  <si>
    <t>16th Edition</t>
  </si>
  <si>
    <t>Test Intersection  -  Regional Project for the 
Betterment of All Mankind</t>
  </si>
  <si>
    <t>17th Edition</t>
  </si>
  <si>
    <t>No of years of crash analysis</t>
  </si>
  <si>
    <t>Crash Cost Data</t>
  </si>
  <si>
    <t>Crash Severity</t>
  </si>
  <si>
    <t>Crash Cost</t>
  </si>
  <si>
    <t>Serious Injury:</t>
  </si>
  <si>
    <t>Predicted Change in Crashes due to Improvement(s)</t>
  </si>
  <si>
    <t xml:space="preserve">Type of Crash </t>
  </si>
  <si>
    <t># of Crashes Susceptible</t>
  </si>
  <si>
    <t>Ser</t>
  </si>
  <si>
    <t>Night Crashes at unlighted intersections</t>
  </si>
  <si>
    <t>Angle crashes</t>
  </si>
  <si>
    <t>Rear-end crashes ( expected to increase)</t>
  </si>
  <si>
    <t>Total Crashes Susceptible to Reduction or Increase:</t>
  </si>
  <si>
    <t>Predicted Change in Crashes:</t>
  </si>
  <si>
    <t>Predicted Change in Crash Cost ($1,000):</t>
  </si>
  <si>
    <t>Crashes</t>
  </si>
  <si>
    <t>Crash</t>
  </si>
  <si>
    <t xml:space="preserve">     (Estimated Annual Reduction in Crash Cost)+(Decrease in Ann Maintenance Cost, 0 if increase)</t>
  </si>
  <si>
    <t>Compute a combined Crash Reduction Factor (CRF) only for crash types jointly influenced by dissimilar improvements at the location of interest. Consider limitations of this formula as discussed in TRB Special Report 214 Designing Safer Roads, 1987, pg. 253-255.</t>
  </si>
  <si>
    <t>Alaska DOT&amp;PF</t>
  </si>
  <si>
    <t>Computation of Actual B/C and Crash Reduction Factors - INPUT</t>
  </si>
  <si>
    <t>CRASH HISTORY (All Crashes)</t>
  </si>
  <si>
    <t>Crash Trend</t>
  </si>
  <si>
    <t>Crash  Rate change</t>
  </si>
  <si>
    <t>CRASH HISTORY (Crashes Susceptible to Reduction or Increase)</t>
  </si>
  <si>
    <t>Total Crash Costs:</t>
  </si>
  <si>
    <t>Computation of Actual Crash Reduction Factors - RESULTS</t>
  </si>
  <si>
    <t>Change in Total Crashes</t>
  </si>
  <si>
    <t>Crash COST</t>
  </si>
  <si>
    <t>Crash RATE</t>
  </si>
  <si>
    <t>Change in Crashes Susceptible to Reduction or Increase</t>
  </si>
  <si>
    <t>crashes/yr</t>
  </si>
  <si>
    <t>in crash</t>
  </si>
  <si>
    <t>Projected Crash Cost in "After" period at "Before" rate (susceptible crashes only):</t>
  </si>
  <si>
    <t>Actual Crash Cost during "After" period (susceptible crashes only):</t>
  </si>
  <si>
    <t>Unadjusted Crash Cost Reduction:</t>
  </si>
  <si>
    <t>Crash Cost Reduction adjusted for crash trend:</t>
  </si>
  <si>
    <t>Actual Benefit Cost Ratio (Crash and M&amp;O Costs Only):</t>
  </si>
  <si>
    <t xml:space="preserve">   Serious Injury:</t>
  </si>
  <si>
    <t>Crash Types Susceptible to              Reduction or Increase</t>
  </si>
  <si>
    <t>Total Crashes (NOT a sum of above rows):</t>
  </si>
  <si>
    <t>Sum of Crashes Susc to +or- due to proj:</t>
  </si>
  <si>
    <t>Serious  Injury</t>
  </si>
  <si>
    <t>Volume/Crash Data</t>
  </si>
  <si>
    <t>Change in Crash Rate btwn (Before+Int) and After</t>
  </si>
  <si>
    <t>CRF</t>
  </si>
  <si>
    <t>IRIS</t>
  </si>
  <si>
    <t>18th Edition</t>
  </si>
  <si>
    <t xml:space="preserve">    (Annualized Construction Project cost)+(Increase in Ann Maintenance cost, 0 if decrease)</t>
  </si>
  <si>
    <t>19th Edition</t>
  </si>
  <si>
    <t>20th Edition</t>
  </si>
  <si>
    <t>Revised for 20th Edition costs</t>
  </si>
  <si>
    <t>Possible Injury:</t>
  </si>
  <si>
    <t>Poss</t>
  </si>
  <si>
    <t>Possible Injury</t>
  </si>
  <si>
    <t>21st Edition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</si>
</sst>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_);[Red]\(&quot;$&quot;#,##0.0\)"/>
    <numFmt numFmtId="166" formatCode="0.0"/>
    <numFmt numFmtId="167" formatCode="0.000"/>
    <numFmt numFmtId="168" formatCode="#,##0.0"/>
    <numFmt numFmtId="169" formatCode="#,##0.0;[Red]#,##0.0"/>
    <numFmt numFmtId="170" formatCode="&quot;$&quot;#,##0"/>
    <numFmt numFmtId="171" formatCode="0.000000"/>
    <numFmt numFmtId="172" formatCode="0.00000"/>
    <numFmt numFmtId="173" formatCode="0.0000"/>
    <numFmt numFmtId="174" formatCode="&quot;$&quot;#,##0.000_);[Red]\(&quot;$&quot;#,##0.000\)"/>
    <numFmt numFmtId="175" formatCode="0.0%"/>
    <numFmt numFmtId="176" formatCode="#,##0.0_);[Red]\(#,##0.0\)"/>
    <numFmt numFmtId="177" formatCode="&quot;$&quot;#,##0.00"/>
    <numFmt numFmtId="178" formatCode="0.00000000"/>
    <numFmt numFmtId="179" formatCode="0.0000000"/>
    <numFmt numFmtId="180" formatCode="m/d/yy"/>
    <numFmt numFmtId="181" formatCode="_(* #,##0_);_(* \(#,##0\);_(* &quot;-&quot;??_);_(@_)"/>
    <numFmt numFmtId="182" formatCode="m/d/yy;@"/>
    <numFmt numFmtId="183" formatCode="#,##0.000000"/>
    <numFmt numFmtId="184" formatCode="_(&quot;$&quot;* #,##0_);_(&quot;$&quot;* \(#,##0\);_(&quot;$&quot;* &quot;-&quot;??_);_(@_)"/>
    <numFmt numFmtId="185" formatCode="[$-409]dddd\,\ mmmm\ dd\,\ yyyy"/>
    <numFmt numFmtId="186" formatCode="mm/dd/yy;@"/>
    <numFmt numFmtId="187" formatCode="#,##0.0000"/>
    <numFmt numFmtId="188" formatCode="#,##0.000_);[Red]\(#,##0.000\)"/>
    <numFmt numFmtId="189" formatCode="#,##0.0000_);[Red]\(#,##0.0000\)"/>
    <numFmt numFmtId="190" formatCode="0.000%"/>
    <numFmt numFmtId="191" formatCode="0.0000%"/>
    <numFmt numFmtId="192" formatCode="0.00000%"/>
    <numFmt numFmtId="193" formatCode="0.000000%"/>
    <numFmt numFmtId="194" formatCode="0.0000000%"/>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0;\-0;;@"/>
    <numFmt numFmtId="201" formatCode="[$-409]dddd\,\ mmmm\ d\,\ yyyy"/>
  </numFmts>
  <fonts count="101">
    <font>
      <sz val="10"/>
      <name val="Geneva"/>
      <family val="0"/>
    </font>
    <font>
      <b/>
      <sz val="10"/>
      <name val="Geneva"/>
      <family val="0"/>
    </font>
    <font>
      <i/>
      <sz val="10"/>
      <name val="Geneva"/>
      <family val="0"/>
    </font>
    <font>
      <b/>
      <i/>
      <sz val="10"/>
      <name val="Geneva"/>
      <family val="0"/>
    </font>
    <font>
      <sz val="10"/>
      <name val="Helvetica"/>
      <family val="2"/>
    </font>
    <font>
      <b/>
      <sz val="10"/>
      <name val="Helvetica"/>
      <family val="2"/>
    </font>
    <font>
      <sz val="9"/>
      <name val="Helvetica"/>
      <family val="2"/>
    </font>
    <font>
      <sz val="8"/>
      <name val="Geneva"/>
      <family val="0"/>
    </font>
    <font>
      <sz val="10"/>
      <color indexed="10"/>
      <name val="Geneva"/>
      <family val="0"/>
    </font>
    <font>
      <b/>
      <sz val="10"/>
      <name val="Arial"/>
      <family val="2"/>
    </font>
    <font>
      <b/>
      <sz val="11"/>
      <name val="Arial Black"/>
      <family val="2"/>
    </font>
    <font>
      <b/>
      <sz val="12"/>
      <name val="Arial"/>
      <family val="2"/>
    </font>
    <font>
      <b/>
      <i/>
      <sz val="12"/>
      <name val="Arial"/>
      <family val="2"/>
    </font>
    <font>
      <b/>
      <sz val="11"/>
      <name val="Arial"/>
      <family val="2"/>
    </font>
    <font>
      <b/>
      <sz val="9"/>
      <name val="Arial"/>
      <family val="2"/>
    </font>
    <font>
      <b/>
      <sz val="8"/>
      <name val="Arial"/>
      <family val="2"/>
    </font>
    <font>
      <sz val="10"/>
      <name val="Arial"/>
      <family val="2"/>
    </font>
    <font>
      <u val="single"/>
      <sz val="10"/>
      <color indexed="36"/>
      <name val="Helvetica"/>
      <family val="2"/>
    </font>
    <font>
      <u val="single"/>
      <sz val="10"/>
      <color indexed="12"/>
      <name val="Helvetica"/>
      <family val="2"/>
    </font>
    <font>
      <sz val="12"/>
      <name val="Arial Black"/>
      <family val="2"/>
    </font>
    <font>
      <i/>
      <sz val="10"/>
      <name val="Helvetica"/>
      <family val="2"/>
    </font>
    <font>
      <sz val="9"/>
      <name val="Geneva"/>
      <family val="0"/>
    </font>
    <font>
      <b/>
      <i/>
      <sz val="18"/>
      <name val="Arial"/>
      <family val="2"/>
    </font>
    <font>
      <b/>
      <i/>
      <sz val="14"/>
      <name val="Arial"/>
      <family val="2"/>
    </font>
    <font>
      <sz val="8"/>
      <name val="Arial"/>
      <family val="2"/>
    </font>
    <font>
      <i/>
      <sz val="12"/>
      <color indexed="10"/>
      <name val="Arial"/>
      <family val="2"/>
    </font>
    <font>
      <sz val="12"/>
      <name val="Arial"/>
      <family val="2"/>
    </font>
    <font>
      <b/>
      <sz val="14"/>
      <name val="Arial"/>
      <family val="2"/>
    </font>
    <font>
      <sz val="10"/>
      <color indexed="12"/>
      <name val="Arial"/>
      <family val="2"/>
    </font>
    <font>
      <sz val="10"/>
      <color indexed="10"/>
      <name val="Arial"/>
      <family val="2"/>
    </font>
    <font>
      <sz val="8"/>
      <color indexed="10"/>
      <name val="Arial"/>
      <family val="2"/>
    </font>
    <font>
      <b/>
      <sz val="7"/>
      <name val="Arial"/>
      <family val="2"/>
    </font>
    <font>
      <sz val="9"/>
      <name val="Arial"/>
      <family val="2"/>
    </font>
    <font>
      <sz val="14"/>
      <name val="Arial"/>
      <family val="2"/>
    </font>
    <font>
      <b/>
      <i/>
      <sz val="16"/>
      <color indexed="10"/>
      <name val="Arial"/>
      <family val="2"/>
    </font>
    <font>
      <b/>
      <sz val="10"/>
      <color indexed="10"/>
      <name val="Arial"/>
      <family val="2"/>
    </font>
    <font>
      <sz val="11"/>
      <name val="Arial"/>
      <family val="2"/>
    </font>
    <font>
      <i/>
      <sz val="11"/>
      <color indexed="10"/>
      <name val="Arial"/>
      <family val="2"/>
    </font>
    <font>
      <i/>
      <sz val="12"/>
      <name val="Arial"/>
      <family val="2"/>
    </font>
    <font>
      <b/>
      <i/>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Helvetica"/>
      <family val="0"/>
    </font>
    <font>
      <b/>
      <i/>
      <sz val="10"/>
      <color indexed="10"/>
      <name val="Arial"/>
      <family val="2"/>
    </font>
    <font>
      <b/>
      <sz val="9"/>
      <color indexed="10"/>
      <name val="Arial"/>
      <family val="2"/>
    </font>
    <font>
      <b/>
      <sz val="10"/>
      <color indexed="10"/>
      <name val="Geneva"/>
      <family val="0"/>
    </font>
    <font>
      <sz val="11"/>
      <color indexed="8"/>
      <name val="+mn-ea"/>
      <family val="0"/>
    </font>
    <font>
      <sz val="11"/>
      <color indexed="8"/>
      <name val="+mn-lt"/>
      <family val="0"/>
    </font>
    <font>
      <sz val="10"/>
      <color indexed="8"/>
      <name val="Geneva"/>
      <family val="0"/>
    </font>
    <font>
      <sz val="10"/>
      <color indexed="8"/>
      <name val="Arial"/>
      <family val="0"/>
    </font>
    <font>
      <sz val="11"/>
      <color indexed="8"/>
      <name val="Cambria Math"/>
      <family val="0"/>
    </font>
    <font>
      <b/>
      <i/>
      <sz val="10"/>
      <color indexed="8"/>
      <name val="Arial"/>
      <family val="0"/>
    </font>
    <font>
      <b/>
      <i/>
      <sz val="10"/>
      <color indexed="8"/>
      <name val="Calibri"/>
      <family val="0"/>
    </font>
    <font>
      <b/>
      <sz val="10"/>
      <color indexed="8"/>
      <name val="Arial"/>
      <family val="0"/>
    </font>
    <font>
      <u val="single"/>
      <sz val="11"/>
      <color indexed="8"/>
      <name val="Calibri"/>
      <family val="0"/>
    </font>
    <font>
      <b/>
      <u val="single"/>
      <sz val="11"/>
      <color indexed="8"/>
      <name val="Calibri"/>
      <family val="0"/>
    </font>
    <font>
      <sz val="14"/>
      <color indexed="8"/>
      <name val="Arial Black"/>
      <family val="0"/>
    </font>
    <font>
      <sz val="12"/>
      <color indexed="8"/>
      <name val="Arial"/>
      <family val="0"/>
    </font>
    <font>
      <b/>
      <i/>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Helvetica"/>
      <family val="0"/>
    </font>
    <font>
      <b/>
      <sz val="10"/>
      <color rgb="FFFF0000"/>
      <name val="Arial"/>
      <family val="2"/>
    </font>
    <font>
      <b/>
      <i/>
      <sz val="10"/>
      <color rgb="FFFF0000"/>
      <name val="Arial"/>
      <family val="2"/>
    </font>
    <font>
      <sz val="10"/>
      <color rgb="FFFF0000"/>
      <name val="Arial"/>
      <family val="2"/>
    </font>
    <font>
      <b/>
      <sz val="9"/>
      <color rgb="FFFF0000"/>
      <name val="Arial"/>
      <family val="2"/>
    </font>
    <font>
      <b/>
      <sz val="10"/>
      <color rgb="FFFF0000"/>
      <name val="Geneva"/>
      <family val="0"/>
    </font>
    <font>
      <sz val="10"/>
      <color rgb="FFFF0000"/>
      <name val="Geneva"/>
      <family val="0"/>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rgb="FFCCFFFF"/>
        <bgColor indexed="64"/>
      </patternFill>
    </fill>
    <fill>
      <patternFill patternType="solid">
        <fgColor indexed="41"/>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color indexed="10"/>
      </right>
      <top style="thin">
        <color indexed="10"/>
      </top>
      <bottom>
        <color indexed="63"/>
      </bottom>
    </border>
    <border>
      <left style="thin">
        <color indexed="10"/>
      </left>
      <right style="thin">
        <color indexed="10"/>
      </right>
      <top style="thin">
        <color indexed="10"/>
      </top>
      <bottom>
        <color indexed="63"/>
      </bottom>
    </border>
    <border>
      <left style="medium"/>
      <right style="thin">
        <color indexed="10"/>
      </right>
      <top>
        <color indexed="63"/>
      </top>
      <bottom>
        <color indexed="63"/>
      </bottom>
    </border>
    <border>
      <left style="thin">
        <color indexed="10"/>
      </left>
      <right style="thin">
        <color indexed="10"/>
      </right>
      <top>
        <color indexed="63"/>
      </top>
      <bottom>
        <color indexed="63"/>
      </bottom>
    </border>
    <border>
      <left style="medium"/>
      <right style="thin">
        <color indexed="10"/>
      </right>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medium"/>
    </border>
    <border>
      <left style="thin">
        <color indexed="10"/>
      </left>
      <right style="thin">
        <color indexed="10"/>
      </right>
      <top style="thin">
        <color indexed="10"/>
      </top>
      <bottom style="thin">
        <color indexed="10"/>
      </bottom>
    </border>
    <border>
      <left style="medium"/>
      <right>
        <color indexed="63"/>
      </right>
      <top style="thin"/>
      <bottom style="medium"/>
    </border>
    <border>
      <left style="thin">
        <color indexed="10"/>
      </left>
      <right style="thin">
        <color indexed="10"/>
      </right>
      <top>
        <color indexed="63"/>
      </top>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hair"/>
    </border>
    <border>
      <left>
        <color indexed="63"/>
      </left>
      <right>
        <color indexed="63"/>
      </right>
      <top style="hair"/>
      <bottom style="hair"/>
    </border>
    <border>
      <left>
        <color indexed="63"/>
      </left>
      <right style="thin">
        <color indexed="10"/>
      </right>
      <top style="thin">
        <color indexed="10"/>
      </top>
      <bottom style="thin">
        <color indexed="10"/>
      </bottom>
    </border>
    <border>
      <left style="thin"/>
      <right style="thin"/>
      <top style="thin">
        <color indexed="10"/>
      </top>
      <bottom>
        <color indexed="63"/>
      </bottom>
    </border>
    <border>
      <left style="thin"/>
      <right style="medium"/>
      <top style="thin">
        <color indexed="10"/>
      </top>
      <bottom>
        <color indexed="63"/>
      </bottom>
    </border>
    <border>
      <left style="thin"/>
      <right style="thin"/>
      <top>
        <color indexed="63"/>
      </top>
      <bottom style="thin">
        <color indexed="10"/>
      </bottom>
    </border>
    <border>
      <left style="thin"/>
      <right style="medium"/>
      <top>
        <color indexed="63"/>
      </top>
      <bottom style="thin">
        <color indexed="10"/>
      </bottom>
    </border>
    <border>
      <left>
        <color indexed="63"/>
      </left>
      <right>
        <color indexed="63"/>
      </right>
      <top style="thin">
        <color rgb="FFFF0000"/>
      </top>
      <bottom style="thin"/>
    </border>
    <border>
      <left style="medium"/>
      <right style="thin"/>
      <top style="medium"/>
      <bottom style="medium"/>
    </border>
    <border>
      <left style="thin"/>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style="medium"/>
      <right style="medium"/>
      <top style="medium"/>
      <bottom>
        <color indexed="63"/>
      </bottom>
    </border>
    <border>
      <left style="medium"/>
      <right style="medium">
        <color indexed="12"/>
      </right>
      <top>
        <color indexed="63"/>
      </top>
      <bottom>
        <color indexed="63"/>
      </bottom>
    </border>
    <border>
      <left style="medium"/>
      <right style="medium"/>
      <top>
        <color indexed="63"/>
      </top>
      <bottom style="medium"/>
    </border>
    <border>
      <left style="thin"/>
      <right style="medium"/>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medium"/>
      <bottom style="thin"/>
    </border>
    <border>
      <left style="thin"/>
      <right style="medium"/>
      <top style="thin"/>
      <bottom style="medium"/>
    </border>
    <border>
      <left style="thin"/>
      <right style="thin"/>
      <top style="medium"/>
      <bottom style="mediu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medium"/>
      <right>
        <color indexed="63"/>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style="medium"/>
      <right>
        <color indexed="63"/>
      </right>
      <top>
        <color indexed="63"/>
      </top>
      <bottom style="thin">
        <color indexed="10"/>
      </bottom>
    </border>
    <border>
      <left>
        <color indexed="63"/>
      </left>
      <right style="thin"/>
      <top>
        <color indexed="63"/>
      </top>
      <bottom style="thin">
        <color indexed="10"/>
      </bottom>
    </border>
    <border>
      <left style="thin">
        <color rgb="FFFF0000"/>
      </left>
      <right style="thin">
        <color indexed="10"/>
      </right>
      <top>
        <color indexed="63"/>
      </top>
      <bottom style="thin">
        <color indexed="10"/>
      </bottom>
    </border>
    <border>
      <left style="thin">
        <color rgb="FFFF0000"/>
      </left>
      <right style="thin">
        <color indexed="10"/>
      </right>
      <top style="thin">
        <color indexed="10"/>
      </top>
      <bottom>
        <color indexed="63"/>
      </bottom>
    </border>
    <border>
      <left style="thin">
        <color rgb="FFFF0000"/>
      </left>
      <right style="thin">
        <color indexed="10"/>
      </right>
      <top>
        <color indexed="63"/>
      </top>
      <bottom>
        <color indexed="63"/>
      </bottom>
    </border>
    <border>
      <left>
        <color indexed="63"/>
      </left>
      <right style="thin"/>
      <top style="medium"/>
      <bottom style="thin"/>
    </border>
    <border>
      <left style="medium"/>
      <right>
        <color indexed="63"/>
      </right>
      <top style="thin">
        <color indexed="10"/>
      </top>
      <bottom style="thin"/>
    </border>
    <border>
      <left style="thin"/>
      <right style="thin"/>
      <top style="thin">
        <color indexed="10"/>
      </top>
      <bottom style="thin"/>
    </border>
    <border>
      <left style="medium"/>
      <right style="medium"/>
      <top style="medium"/>
      <bottom style="medium"/>
    </border>
    <border>
      <left style="thin"/>
      <right>
        <color indexed="63"/>
      </right>
      <top>
        <color indexed="63"/>
      </top>
      <bottom style="thin">
        <color indexed="10"/>
      </bottom>
    </border>
    <border>
      <left style="thin"/>
      <right>
        <color indexed="63"/>
      </right>
      <top style="thin">
        <color indexed="10"/>
      </top>
      <bottom>
        <color indexed="63"/>
      </bottom>
    </border>
    <border>
      <left>
        <color indexed="63"/>
      </left>
      <right style="thin"/>
      <top style="thin">
        <color indexed="10"/>
      </top>
      <bottom>
        <color indexed="63"/>
      </bottom>
    </border>
    <border>
      <left>
        <color indexed="63"/>
      </left>
      <right>
        <color indexed="63"/>
      </right>
      <top style="thin">
        <color indexed="10"/>
      </top>
      <bottom>
        <color indexed="63"/>
      </bottom>
    </border>
    <border>
      <left style="thin">
        <color indexed="10"/>
      </left>
      <right>
        <color indexed="63"/>
      </right>
      <top style="thin"/>
      <bottom style="thin"/>
    </border>
    <border>
      <left>
        <color indexed="63"/>
      </left>
      <right style="thin">
        <color indexed="10"/>
      </right>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0"/>
      </left>
      <right>
        <color indexed="63"/>
      </right>
      <top style="thin">
        <color indexed="10"/>
      </top>
      <bottom style="thin"/>
    </border>
    <border>
      <left>
        <color indexed="63"/>
      </left>
      <right style="medium"/>
      <top style="thin">
        <color indexed="10"/>
      </top>
      <bottom style="thin"/>
    </border>
    <border>
      <left>
        <color indexed="63"/>
      </left>
      <right style="medium"/>
      <top style="thin">
        <color indexed="10"/>
      </top>
      <bottom style="thin">
        <color indexed="10"/>
      </bottom>
    </border>
    <border>
      <left style="thin">
        <color indexed="10"/>
      </left>
      <right>
        <color indexed="63"/>
      </right>
      <top>
        <color indexed="63"/>
      </top>
      <bottom style="medium"/>
    </border>
    <border>
      <left style="thin">
        <color indexed="10"/>
      </left>
      <right>
        <color indexed="63"/>
      </right>
      <top style="thin">
        <color indexed="10"/>
      </top>
      <bottom style="medium"/>
    </border>
    <border>
      <left>
        <color indexed="63"/>
      </left>
      <right>
        <color indexed="63"/>
      </right>
      <top style="thin">
        <color indexed="10"/>
      </top>
      <bottom style="medium"/>
    </border>
    <border>
      <left>
        <color indexed="63"/>
      </left>
      <right style="medium"/>
      <top style="thin">
        <color indexed="10"/>
      </top>
      <bottom style="medium"/>
    </border>
    <border>
      <left>
        <color indexed="63"/>
      </left>
      <right style="thin">
        <color indexed="10"/>
      </right>
      <top style="thin"/>
      <bottom>
        <color indexed="63"/>
      </bottom>
    </border>
    <border>
      <left>
        <color indexed="63"/>
      </left>
      <right style="thin">
        <color indexed="10"/>
      </right>
      <top>
        <color indexed="63"/>
      </top>
      <bottom style="thin"/>
    </border>
    <border>
      <left>
        <color indexed="63"/>
      </left>
      <right style="medium"/>
      <top style="thin">
        <color indexed="10"/>
      </top>
      <bottom>
        <color indexed="63"/>
      </bottom>
    </border>
    <border>
      <left>
        <color indexed="63"/>
      </left>
      <right style="medium"/>
      <top>
        <color indexed="63"/>
      </top>
      <bottom style="thin">
        <color indexed="10"/>
      </bottom>
    </border>
    <border>
      <left style="thin">
        <color indexed="10"/>
      </left>
      <right>
        <color indexed="63"/>
      </right>
      <top style="thin"/>
      <bottom style="medium"/>
    </border>
    <border>
      <left>
        <color indexed="63"/>
      </left>
      <right style="thin">
        <color indexed="10"/>
      </right>
      <top style="thin"/>
      <bottom style="medium"/>
    </border>
    <border>
      <left style="medium"/>
      <right style="thin"/>
      <top>
        <color indexed="63"/>
      </top>
      <bottom style="thin">
        <color indexed="10"/>
      </bottom>
    </border>
    <border>
      <left style="thin"/>
      <right>
        <color indexed="63"/>
      </right>
      <top style="medium"/>
      <bottom style="thin"/>
    </border>
    <border>
      <left style="thin">
        <color indexed="10"/>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 fontId="0" fillId="0" borderId="0" applyFont="0" applyFill="0" applyBorder="0" applyAlignment="0" applyProtection="0"/>
    <xf numFmtId="41" fontId="16" fillId="0" borderId="0" applyFont="0" applyFill="0" applyBorder="0" applyAlignment="0" applyProtection="0"/>
    <xf numFmtId="8" fontId="0" fillId="0" borderId="0" applyFont="0" applyFill="0" applyBorder="0" applyAlignment="0" applyProtection="0"/>
    <xf numFmtId="42" fontId="16" fillId="0" borderId="0" applyFon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1103">
    <xf numFmtId="0" fontId="0" fillId="0" borderId="0" xfId="0" applyAlignment="1">
      <alignment/>
    </xf>
    <xf numFmtId="0" fontId="4" fillId="0" borderId="0" xfId="0" applyFont="1" applyBorder="1" applyAlignment="1" applyProtection="1">
      <alignment horizontal="center"/>
      <protection/>
    </xf>
    <xf numFmtId="0" fontId="4" fillId="0" borderId="0" xfId="0" applyFont="1" applyFill="1" applyBorder="1" applyAlignment="1" applyProtection="1">
      <alignment/>
      <protection/>
    </xf>
    <xf numFmtId="6" fontId="4" fillId="0" borderId="0" xfId="44" applyNumberFormat="1" applyFont="1" applyFill="1" applyBorder="1" applyAlignment="1" applyProtection="1">
      <alignment horizontal="center"/>
      <protection/>
    </xf>
    <xf numFmtId="9" fontId="4" fillId="0" borderId="0" xfId="59" applyFont="1" applyFill="1" applyBorder="1" applyAlignment="1" applyProtection="1">
      <alignment horizontal="center"/>
      <protection/>
    </xf>
    <xf numFmtId="0" fontId="16" fillId="0" borderId="10" xfId="0" applyFont="1" applyFill="1" applyBorder="1" applyAlignment="1" applyProtection="1">
      <alignment horizontal="centerContinuous"/>
      <protection/>
    </xf>
    <xf numFmtId="0" fontId="16" fillId="0" borderId="0" xfId="0" applyFont="1" applyFill="1" applyBorder="1" applyAlignment="1" applyProtection="1">
      <alignment horizontal="centerContinuous"/>
      <protection/>
    </xf>
    <xf numFmtId="0" fontId="16" fillId="0" borderId="11" xfId="0" applyFont="1" applyFill="1" applyBorder="1" applyAlignment="1" applyProtection="1">
      <alignment horizontal="centerContinuous"/>
      <protection/>
    </xf>
    <xf numFmtId="6" fontId="93" fillId="0" borderId="0" xfId="44" applyNumberFormat="1" applyFont="1" applyFill="1" applyBorder="1" applyAlignment="1" applyProtection="1">
      <alignment/>
      <protection/>
    </xf>
    <xf numFmtId="0" fontId="16" fillId="0" borderId="0" xfId="0" applyFont="1" applyAlignment="1" applyProtection="1">
      <alignment/>
      <protection/>
    </xf>
    <xf numFmtId="0" fontId="16" fillId="1" borderId="12" xfId="0" applyFont="1" applyFill="1" applyBorder="1" applyAlignment="1" applyProtection="1">
      <alignment/>
      <protection/>
    </xf>
    <xf numFmtId="0" fontId="16" fillId="1" borderId="10" xfId="0" applyFont="1" applyFill="1" applyBorder="1" applyAlignment="1" applyProtection="1">
      <alignment/>
      <protection/>
    </xf>
    <xf numFmtId="0" fontId="16" fillId="1" borderId="13" xfId="0" applyFont="1" applyFill="1" applyBorder="1" applyAlignment="1" applyProtection="1">
      <alignment/>
      <protection/>
    </xf>
    <xf numFmtId="0" fontId="16" fillId="1" borderId="0" xfId="0" applyFont="1" applyFill="1" applyBorder="1" applyAlignment="1" applyProtection="1">
      <alignment/>
      <protection/>
    </xf>
    <xf numFmtId="0" fontId="16" fillId="1" borderId="14" xfId="0" applyFont="1" applyFill="1" applyBorder="1" applyAlignment="1" applyProtection="1">
      <alignment/>
      <protection/>
    </xf>
    <xf numFmtId="0" fontId="24" fillId="0" borderId="15" xfId="0" applyFont="1" applyBorder="1" applyAlignment="1" applyProtection="1">
      <alignment horizontal="center" vertical="center"/>
      <protection/>
    </xf>
    <xf numFmtId="0" fontId="30" fillId="0" borderId="16" xfId="0" applyFont="1" applyBorder="1" applyAlignment="1" applyProtection="1">
      <alignment horizontal="center" vertical="center"/>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wrapText="1"/>
      <protection locked="0"/>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protection locked="0"/>
    </xf>
    <xf numFmtId="0" fontId="32" fillId="0" borderId="12" xfId="0" applyFont="1" applyFill="1" applyBorder="1" applyAlignment="1" applyProtection="1">
      <alignment vertical="center"/>
      <protection/>
    </xf>
    <xf numFmtId="0" fontId="32" fillId="0" borderId="23" xfId="0" applyFont="1" applyFill="1" applyBorder="1" applyAlignment="1" applyProtection="1">
      <alignment vertical="center"/>
      <protection/>
    </xf>
    <xf numFmtId="0" fontId="16" fillId="0" borderId="12" xfId="0" applyFont="1" applyFill="1" applyBorder="1" applyAlignment="1" applyProtection="1">
      <alignment horizontal="centerContinuous" vertical="center"/>
      <protection/>
    </xf>
    <xf numFmtId="0" fontId="16" fillId="0" borderId="0" xfId="0" applyFont="1" applyAlignment="1" applyProtection="1">
      <alignment horizontal="centerContinuous" vertical="center"/>
      <protection/>
    </xf>
    <xf numFmtId="0" fontId="16" fillId="0" borderId="10" xfId="0" applyFont="1" applyFill="1" applyBorder="1" applyAlignment="1" applyProtection="1">
      <alignment horizontal="centerContinuous" vertical="center"/>
      <protection/>
    </xf>
    <xf numFmtId="0" fontId="16" fillId="0" borderId="10" xfId="0" applyFont="1" applyBorder="1" applyAlignment="1" applyProtection="1">
      <alignment horizontal="centerContinuous" vertical="center"/>
      <protection/>
    </xf>
    <xf numFmtId="0" fontId="16" fillId="0" borderId="13" xfId="0" applyFont="1" applyFill="1" applyBorder="1" applyAlignment="1" applyProtection="1">
      <alignment horizontal="centerContinuous" vertical="center"/>
      <protection/>
    </xf>
    <xf numFmtId="0" fontId="16" fillId="0" borderId="0" xfId="0" applyFont="1" applyFill="1" applyBorder="1" applyAlignment="1" applyProtection="1">
      <alignment horizontal="centerContinuous" vertical="center"/>
      <protection/>
    </xf>
    <xf numFmtId="0" fontId="16" fillId="0" borderId="0" xfId="0" applyFont="1" applyBorder="1" applyAlignment="1" applyProtection="1">
      <alignment horizontal="centerContinuous" vertical="center"/>
      <protection/>
    </xf>
    <xf numFmtId="0" fontId="12" fillId="0" borderId="13" xfId="0" applyFont="1" applyFill="1" applyBorder="1" applyAlignment="1" applyProtection="1">
      <alignment horizontal="centerContinuous" vertical="center"/>
      <protection/>
    </xf>
    <xf numFmtId="0" fontId="23" fillId="0" borderId="13" xfId="0" applyFont="1" applyFill="1" applyBorder="1" applyAlignment="1" applyProtection="1">
      <alignment horizontal="centerContinuous" vertical="center"/>
      <protection/>
    </xf>
    <xf numFmtId="0" fontId="16" fillId="0" borderId="24" xfId="0" applyFont="1" applyFill="1" applyBorder="1" applyAlignment="1" applyProtection="1">
      <alignment horizontal="centerContinuous" vertical="center"/>
      <protection/>
    </xf>
    <xf numFmtId="0" fontId="16" fillId="0" borderId="14" xfId="0" applyFont="1" applyFill="1" applyBorder="1" applyAlignment="1" applyProtection="1">
      <alignment horizontal="centerContinuous" vertical="center"/>
      <protection/>
    </xf>
    <xf numFmtId="0" fontId="16" fillId="0" borderId="11" xfId="0" applyFont="1" applyBorder="1" applyAlignment="1" applyProtection="1">
      <alignment horizontal="centerContinuous" vertical="center"/>
      <protection/>
    </xf>
    <xf numFmtId="0" fontId="16" fillId="0" borderId="11" xfId="0" applyFont="1" applyFill="1" applyBorder="1" applyAlignment="1" applyProtection="1">
      <alignment horizontal="centerContinuous" vertical="center"/>
      <protection/>
    </xf>
    <xf numFmtId="0" fontId="16" fillId="0" borderId="25" xfId="0" applyFont="1" applyFill="1" applyBorder="1" applyAlignment="1" applyProtection="1">
      <alignment horizontal="centerContinuous" vertical="center"/>
      <protection/>
    </xf>
    <xf numFmtId="0" fontId="16" fillId="0" borderId="10" xfId="0" applyFont="1" applyBorder="1" applyAlignment="1">
      <alignment horizontal="centerContinuous" vertical="center"/>
    </xf>
    <xf numFmtId="0" fontId="16" fillId="0" borderId="0" xfId="0" applyFont="1" applyBorder="1" applyAlignment="1">
      <alignment horizontal="centerContinuous" vertical="center"/>
    </xf>
    <xf numFmtId="0" fontId="16" fillId="0" borderId="26" xfId="0" applyFont="1" applyBorder="1" applyAlignment="1" applyProtection="1">
      <alignment horizontal="left" vertical="center"/>
      <protection/>
    </xf>
    <xf numFmtId="0" fontId="16" fillId="0" borderId="23" xfId="0" applyFont="1" applyFill="1" applyBorder="1" applyAlignment="1">
      <alignment horizontal="center" vertical="center"/>
    </xf>
    <xf numFmtId="0" fontId="16" fillId="0" borderId="27" xfId="0" applyFont="1" applyFill="1" applyBorder="1" applyAlignment="1">
      <alignment horizontal="center" vertical="center"/>
    </xf>
    <xf numFmtId="0" fontId="32" fillId="0" borderId="28" xfId="0" applyFont="1" applyBorder="1" applyAlignment="1">
      <alignment vertical="center" wrapText="1"/>
    </xf>
    <xf numFmtId="0" fontId="32" fillId="0" borderId="29" xfId="0" applyFont="1" applyBorder="1" applyAlignment="1">
      <alignment vertical="center" wrapText="1"/>
    </xf>
    <xf numFmtId="0" fontId="32" fillId="0" borderId="30" xfId="0" applyFont="1" applyBorder="1" applyAlignment="1">
      <alignment vertical="center" wrapText="1"/>
    </xf>
    <xf numFmtId="0" fontId="24" fillId="0" borderId="12" xfId="0" applyFont="1" applyBorder="1" applyAlignment="1">
      <alignment horizontal="centerContinuous" vertical="center" wrapText="1"/>
    </xf>
    <xf numFmtId="0" fontId="24" fillId="0" borderId="10" xfId="0" applyFont="1" applyBorder="1" applyAlignment="1">
      <alignment horizontal="centerContinuous" vertical="center" wrapText="1"/>
    </xf>
    <xf numFmtId="0" fontId="24" fillId="0" borderId="13" xfId="0" applyFont="1" applyBorder="1" applyAlignment="1">
      <alignment horizontal="centerContinuous" vertical="center" wrapText="1"/>
    </xf>
    <xf numFmtId="0" fontId="24" fillId="0" borderId="0" xfId="0" applyFont="1" applyBorder="1" applyAlignment="1">
      <alignment horizontal="centerContinuous" vertical="center" wrapText="1"/>
    </xf>
    <xf numFmtId="0" fontId="24" fillId="0" borderId="31" xfId="0" applyFont="1" applyBorder="1" applyAlignment="1">
      <alignment horizontal="centerContinuous" vertical="center" wrapText="1"/>
    </xf>
    <xf numFmtId="0" fontId="24" fillId="0" borderId="11" xfId="0" applyFont="1" applyBorder="1" applyAlignment="1">
      <alignment horizontal="centerContinuous" vertical="center" wrapText="1"/>
    </xf>
    <xf numFmtId="0" fontId="24" fillId="0" borderId="32" xfId="0" applyFont="1" applyBorder="1" applyAlignment="1">
      <alignment horizontal="centerContinuous" vertical="center" wrapText="1"/>
    </xf>
    <xf numFmtId="0" fontId="24" fillId="0" borderId="33" xfId="0" applyFont="1" applyBorder="1" applyAlignment="1">
      <alignment horizontal="centerContinuous" vertical="center" wrapText="1"/>
    </xf>
    <xf numFmtId="2" fontId="39" fillId="0" borderId="34" xfId="59" applyNumberFormat="1" applyFont="1" applyBorder="1" applyAlignment="1">
      <alignment horizontal="center" vertical="center"/>
    </xf>
    <xf numFmtId="1" fontId="24" fillId="0" borderId="35" xfId="0" applyNumberFormat="1" applyFont="1" applyBorder="1" applyAlignment="1">
      <alignment horizontal="center" vertical="center"/>
    </xf>
    <xf numFmtId="2" fontId="39" fillId="0" borderId="28" xfId="59" applyNumberFormat="1" applyFont="1" applyBorder="1" applyAlignment="1">
      <alignment horizontal="center" vertical="center"/>
    </xf>
    <xf numFmtId="1" fontId="24" fillId="0" borderId="36" xfId="0" applyNumberFormat="1" applyFont="1" applyBorder="1" applyAlignment="1">
      <alignment horizontal="center" vertical="center"/>
    </xf>
    <xf numFmtId="9" fontId="24" fillId="0" borderId="10" xfId="59" applyFont="1" applyBorder="1" applyAlignment="1">
      <alignment horizontal="center" vertical="center"/>
    </xf>
    <xf numFmtId="175" fontId="24" fillId="0" borderId="12" xfId="59" applyNumberFormat="1" applyFont="1" applyBorder="1" applyAlignment="1">
      <alignment horizontal="center" vertical="center"/>
    </xf>
    <xf numFmtId="0" fontId="24" fillId="0" borderId="12" xfId="0" applyFont="1" applyBorder="1" applyAlignment="1">
      <alignment horizontal="center" vertical="center"/>
    </xf>
    <xf numFmtId="9" fontId="39" fillId="0" borderId="37" xfId="59" applyFont="1" applyBorder="1" applyAlignment="1">
      <alignment horizontal="center" vertical="center"/>
    </xf>
    <xf numFmtId="9" fontId="39" fillId="0" borderId="24" xfId="59" applyFont="1" applyBorder="1" applyAlignment="1">
      <alignment horizontal="center" vertical="center"/>
    </xf>
    <xf numFmtId="9" fontId="24" fillId="0" borderId="36" xfId="0" applyNumberFormat="1" applyFont="1" applyBorder="1" applyAlignment="1">
      <alignment horizontal="center" vertical="center"/>
    </xf>
    <xf numFmtId="2" fontId="39" fillId="0" borderId="38" xfId="59" applyNumberFormat="1" applyFont="1" applyBorder="1" applyAlignment="1">
      <alignment horizontal="center" vertical="center"/>
    </xf>
    <xf numFmtId="1" fontId="24" fillId="0" borderId="39" xfId="0" applyNumberFormat="1" applyFont="1" applyBorder="1" applyAlignment="1">
      <alignment horizontal="center" vertical="center"/>
    </xf>
    <xf numFmtId="2" fontId="39" fillId="0" borderId="29" xfId="59" applyNumberFormat="1" applyFont="1" applyBorder="1" applyAlignment="1">
      <alignment horizontal="center" vertical="center"/>
    </xf>
    <xf numFmtId="1" fontId="24" fillId="0" borderId="40" xfId="0" applyNumberFormat="1" applyFont="1" applyBorder="1" applyAlignment="1">
      <alignment horizontal="center" vertical="center"/>
    </xf>
    <xf numFmtId="9" fontId="24" fillId="0" borderId="0" xfId="59" applyFont="1" applyBorder="1" applyAlignment="1">
      <alignment horizontal="center" vertical="center"/>
    </xf>
    <xf numFmtId="175" fontId="24" fillId="0" borderId="13" xfId="59" applyNumberFormat="1" applyFont="1" applyBorder="1" applyAlignment="1">
      <alignment horizontal="center" vertical="center"/>
    </xf>
    <xf numFmtId="0" fontId="24" fillId="0" borderId="41" xfId="0" applyFont="1" applyBorder="1" applyAlignment="1">
      <alignment horizontal="center" vertical="center"/>
    </xf>
    <xf numFmtId="9" fontId="39" fillId="0" borderId="41" xfId="59" applyFont="1" applyBorder="1" applyAlignment="1">
      <alignment horizontal="center" vertical="center"/>
    </xf>
    <xf numFmtId="9" fontId="39" fillId="0" borderId="14" xfId="59" applyFont="1" applyBorder="1" applyAlignment="1">
      <alignment horizontal="center" vertical="center"/>
    </xf>
    <xf numFmtId="9" fontId="24" fillId="0" borderId="40" xfId="0" applyNumberFormat="1" applyFont="1" applyBorder="1" applyAlignment="1">
      <alignment horizontal="center" vertical="center"/>
    </xf>
    <xf numFmtId="0" fontId="24" fillId="0" borderId="13" xfId="0" applyFont="1" applyBorder="1" applyAlignment="1">
      <alignment horizontal="center" vertical="center"/>
    </xf>
    <xf numFmtId="2" fontId="39" fillId="0" borderId="26" xfId="59" applyNumberFormat="1" applyFont="1" applyBorder="1" applyAlignment="1">
      <alignment horizontal="center" vertical="center"/>
    </xf>
    <xf numFmtId="1" fontId="24" fillId="0" borderId="42" xfId="0" applyNumberFormat="1" applyFont="1" applyBorder="1" applyAlignment="1">
      <alignment horizontal="center" vertical="center"/>
    </xf>
    <xf numFmtId="2" fontId="39" fillId="0" borderId="43" xfId="59" applyNumberFormat="1" applyFont="1" applyBorder="1" applyAlignment="1">
      <alignment horizontal="center" vertical="center"/>
    </xf>
    <xf numFmtId="1" fontId="24" fillId="0" borderId="44" xfId="0" applyNumberFormat="1" applyFont="1" applyBorder="1" applyAlignment="1">
      <alignment horizontal="center" vertical="center"/>
    </xf>
    <xf numFmtId="9" fontId="24" fillId="0" borderId="11" xfId="59" applyFont="1" applyBorder="1" applyAlignment="1">
      <alignment horizontal="center" vertical="center"/>
    </xf>
    <xf numFmtId="175" fontId="24" fillId="0" borderId="31" xfId="59" applyNumberFormat="1" applyFont="1" applyBorder="1" applyAlignment="1">
      <alignment horizontal="center" vertical="center"/>
    </xf>
    <xf numFmtId="0" fontId="24" fillId="0" borderId="31" xfId="0" applyFont="1" applyBorder="1" applyAlignment="1">
      <alignment horizontal="center" vertical="center"/>
    </xf>
    <xf numFmtId="9" fontId="39" fillId="0" borderId="45" xfId="59" applyFont="1" applyBorder="1" applyAlignment="1">
      <alignment horizontal="center" vertical="center"/>
    </xf>
    <xf numFmtId="9" fontId="39" fillId="0" borderId="25" xfId="59" applyFont="1" applyBorder="1" applyAlignment="1">
      <alignment horizontal="center" vertical="center"/>
    </xf>
    <xf numFmtId="9" fontId="24" fillId="0" borderId="44" xfId="0" applyNumberFormat="1" applyFont="1" applyBorder="1" applyAlignment="1">
      <alignment horizontal="center" vertical="center"/>
    </xf>
    <xf numFmtId="2" fontId="39" fillId="0" borderId="46" xfId="59" applyNumberFormat="1" applyFont="1" applyBorder="1" applyAlignment="1">
      <alignment horizontal="center" vertical="center"/>
    </xf>
    <xf numFmtId="1" fontId="24" fillId="0" borderId="47" xfId="0" applyNumberFormat="1" applyFont="1" applyBorder="1" applyAlignment="1">
      <alignment horizontal="center" vertical="center"/>
    </xf>
    <xf numFmtId="2" fontId="39" fillId="0" borderId="30" xfId="59" applyNumberFormat="1" applyFont="1" applyBorder="1" applyAlignment="1">
      <alignment horizontal="center" vertical="center"/>
    </xf>
    <xf numFmtId="1" fontId="24" fillId="0" borderId="48" xfId="0" applyNumberFormat="1" applyFont="1" applyBorder="1" applyAlignment="1">
      <alignment horizontal="center" vertical="center"/>
    </xf>
    <xf numFmtId="9" fontId="24" fillId="0" borderId="33" xfId="59" applyFont="1" applyBorder="1" applyAlignment="1">
      <alignment horizontal="center" vertical="center"/>
    </xf>
    <xf numFmtId="175" fontId="24" fillId="0" borderId="32" xfId="59" applyNumberFormat="1" applyFont="1" applyBorder="1" applyAlignment="1">
      <alignment horizontal="center" vertical="center"/>
    </xf>
    <xf numFmtId="0" fontId="24" fillId="0" borderId="32" xfId="0" applyFont="1" applyBorder="1" applyAlignment="1">
      <alignment horizontal="center" vertical="center"/>
    </xf>
    <xf numFmtId="9" fontId="39" fillId="0" borderId="49" xfId="59" applyFont="1" applyBorder="1" applyAlignment="1">
      <alignment horizontal="center" vertical="center"/>
    </xf>
    <xf numFmtId="9" fontId="39" fillId="0" borderId="50" xfId="59" applyFont="1" applyBorder="1" applyAlignment="1">
      <alignment horizontal="center" vertical="center"/>
    </xf>
    <xf numFmtId="9" fontId="24" fillId="0" borderId="48" xfId="0" applyNumberFormat="1" applyFont="1" applyBorder="1" applyAlignment="1">
      <alignment horizontal="center" vertical="center"/>
    </xf>
    <xf numFmtId="0" fontId="16" fillId="0" borderId="41"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0" xfId="0" applyFont="1" applyBorder="1" applyAlignment="1">
      <alignment horizontal="center" vertical="center"/>
    </xf>
    <xf numFmtId="0" fontId="16" fillId="0" borderId="11" xfId="0" applyFont="1" applyBorder="1" applyAlignment="1">
      <alignment horizontal="center" vertical="center"/>
    </xf>
    <xf numFmtId="6" fontId="9" fillId="0" borderId="51" xfId="44" applyNumberFormat="1" applyFont="1" applyBorder="1" applyAlignment="1" applyProtection="1">
      <alignment horizontal="center" vertical="center"/>
      <protection/>
    </xf>
    <xf numFmtId="0" fontId="16" fillId="0" borderId="26" xfId="0" applyFont="1" applyFill="1" applyBorder="1" applyAlignment="1" applyProtection="1">
      <alignment vertical="center"/>
      <protection/>
    </xf>
    <xf numFmtId="0" fontId="16" fillId="0" borderId="11" xfId="0" applyFont="1" applyBorder="1" applyAlignment="1" applyProtection="1">
      <alignment vertical="center"/>
      <protection/>
    </xf>
    <xf numFmtId="180" fontId="29" fillId="0" borderId="52" xfId="0" applyNumberFormat="1" applyFont="1" applyBorder="1" applyAlignment="1" applyProtection="1">
      <alignment horizontal="center" vertical="center"/>
      <protection locked="0"/>
    </xf>
    <xf numFmtId="166" fontId="29" fillId="0" borderId="52" xfId="0" applyNumberFormat="1" applyFont="1" applyBorder="1" applyAlignment="1" applyProtection="1">
      <alignment horizontal="center" vertical="center"/>
      <protection locked="0"/>
    </xf>
    <xf numFmtId="0" fontId="29" fillId="0" borderId="52" xfId="0" applyFont="1" applyFill="1" applyBorder="1" applyAlignment="1" applyProtection="1">
      <alignment horizontal="center" vertical="center"/>
      <protection locked="0"/>
    </xf>
    <xf numFmtId="180" fontId="29" fillId="0" borderId="17" xfId="0" applyNumberFormat="1" applyFont="1" applyBorder="1" applyAlignment="1" applyProtection="1">
      <alignment horizontal="center" vertical="center"/>
      <protection locked="0"/>
    </xf>
    <xf numFmtId="166" fontId="29" fillId="0" borderId="17" xfId="0" applyNumberFormat="1"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16" fillId="0" borderId="26" xfId="0" applyFont="1" applyFill="1" applyBorder="1" applyAlignment="1" applyProtection="1">
      <alignment horizontal="left" vertical="center"/>
      <protection/>
    </xf>
    <xf numFmtId="180" fontId="16" fillId="0" borderId="27" xfId="0" applyNumberFormat="1" applyFont="1" applyBorder="1" applyAlignment="1" applyProtection="1">
      <alignment horizontal="center" vertical="center"/>
      <protection/>
    </xf>
    <xf numFmtId="166" fontId="16" fillId="0" borderId="27" xfId="0" applyNumberFormat="1" applyFont="1" applyBorder="1" applyAlignment="1" applyProtection="1">
      <alignment horizontal="center" vertical="center"/>
      <protection/>
    </xf>
    <xf numFmtId="0" fontId="16" fillId="0" borderId="27" xfId="0" applyFont="1" applyBorder="1" applyAlignment="1" applyProtection="1">
      <alignment horizontal="center" vertical="center"/>
      <protection/>
    </xf>
    <xf numFmtId="0" fontId="16" fillId="0" borderId="53" xfId="0" applyFont="1" applyFill="1" applyBorder="1" applyAlignment="1" applyProtection="1">
      <alignment vertical="center"/>
      <protection/>
    </xf>
    <xf numFmtId="0" fontId="16" fillId="0" borderId="51" xfId="0" applyFont="1" applyBorder="1" applyAlignment="1" applyProtection="1">
      <alignment vertical="center"/>
      <protection/>
    </xf>
    <xf numFmtId="180" fontId="29" fillId="0" borderId="54" xfId="0" applyNumberFormat="1" applyFont="1" applyBorder="1" applyAlignment="1" applyProtection="1">
      <alignment horizontal="center" vertical="center"/>
      <protection locked="0"/>
    </xf>
    <xf numFmtId="166" fontId="29" fillId="0" borderId="54" xfId="0" applyNumberFormat="1" applyFont="1" applyBorder="1" applyAlignment="1" applyProtection="1">
      <alignment horizontal="center" vertical="center"/>
      <protection locked="0"/>
    </xf>
    <xf numFmtId="0" fontId="29" fillId="0" borderId="54" xfId="0" applyFont="1" applyFill="1" applyBorder="1" applyAlignment="1" applyProtection="1">
      <alignment horizontal="center" vertical="center"/>
      <protection locked="0"/>
    </xf>
    <xf numFmtId="0" fontId="16" fillId="1" borderId="0" xfId="0" applyFont="1" applyFill="1" applyBorder="1" applyAlignment="1" applyProtection="1">
      <alignment vertical="center"/>
      <protection/>
    </xf>
    <xf numFmtId="0" fontId="16" fillId="0" borderId="11" xfId="0" applyFont="1" applyBorder="1" applyAlignment="1" applyProtection="1">
      <alignment horizontal="left" vertical="center"/>
      <protection/>
    </xf>
    <xf numFmtId="9" fontId="16" fillId="0" borderId="13" xfId="59" applyFont="1" applyFill="1" applyBorder="1" applyAlignment="1" applyProtection="1">
      <alignment horizontal="centerContinuous" vertical="center"/>
      <protection/>
    </xf>
    <xf numFmtId="9" fontId="16" fillId="0" borderId="40" xfId="59" applyFont="1" applyFill="1" applyBorder="1" applyAlignment="1" applyProtection="1">
      <alignment horizontal="centerContinuous" vertical="center"/>
      <protection/>
    </xf>
    <xf numFmtId="0" fontId="16" fillId="0" borderId="55" xfId="0" applyFont="1" applyBorder="1" applyAlignment="1" applyProtection="1">
      <alignment horizontal="left" vertical="center"/>
      <protection/>
    </xf>
    <xf numFmtId="0" fontId="16" fillId="0" borderId="15" xfId="0" applyFont="1" applyBorder="1" applyAlignment="1" applyProtection="1">
      <alignment horizontal="left" vertical="center"/>
      <protection/>
    </xf>
    <xf numFmtId="0" fontId="16" fillId="0" borderId="15" xfId="0" applyFont="1" applyBorder="1" applyAlignment="1" applyProtection="1">
      <alignment vertical="center"/>
      <protection/>
    </xf>
    <xf numFmtId="0" fontId="16" fillId="0" borderId="53" xfId="0" applyFont="1" applyBorder="1" applyAlignment="1" applyProtection="1">
      <alignment horizontal="left" vertical="center"/>
      <protection/>
    </xf>
    <xf numFmtId="0" fontId="16" fillId="0" borderId="51" xfId="0" applyFont="1" applyBorder="1" applyAlignment="1" applyProtection="1">
      <alignment horizontal="left" vertical="center"/>
      <protection/>
    </xf>
    <xf numFmtId="0" fontId="23" fillId="0" borderId="56" xfId="0" applyFont="1" applyBorder="1" applyAlignment="1" applyProtection="1">
      <alignment horizontal="centerContinuous" vertical="center"/>
      <protection/>
    </xf>
    <xf numFmtId="0" fontId="23" fillId="0" borderId="57" xfId="0" applyFont="1" applyBorder="1" applyAlignment="1" applyProtection="1">
      <alignment horizontal="centerContinuous" vertical="center"/>
      <protection/>
    </xf>
    <xf numFmtId="0" fontId="23" fillId="0" borderId="58" xfId="0" applyFont="1" applyBorder="1" applyAlignment="1" applyProtection="1">
      <alignment horizontal="centerContinuous" vertical="center"/>
      <protection/>
    </xf>
    <xf numFmtId="0" fontId="12" fillId="0" borderId="34" xfId="0" applyFont="1" applyFill="1" applyBorder="1" applyAlignment="1" applyProtection="1">
      <alignment horizontal="centerContinuous" vertical="center"/>
      <protection/>
    </xf>
    <xf numFmtId="0" fontId="12" fillId="0" borderId="10" xfId="0" applyFont="1" applyFill="1" applyBorder="1" applyAlignment="1" applyProtection="1">
      <alignment horizontal="centerContinuous" vertical="center"/>
      <protection/>
    </xf>
    <xf numFmtId="0" fontId="12" fillId="0" borderId="27" xfId="0" applyFont="1" applyFill="1" applyBorder="1" applyAlignment="1" applyProtection="1">
      <alignment horizontal="centerContinuous" vertical="center"/>
      <protection/>
    </xf>
    <xf numFmtId="0" fontId="12" fillId="0" borderId="15" xfId="0" applyFont="1" applyFill="1" applyBorder="1" applyAlignment="1" applyProtection="1">
      <alignment horizontal="centerContinuous" vertical="center"/>
      <protection/>
    </xf>
    <xf numFmtId="0" fontId="12" fillId="0" borderId="59" xfId="0" applyFont="1" applyFill="1" applyBorder="1" applyAlignment="1" applyProtection="1">
      <alignment horizontal="centerContinuous" vertical="center"/>
      <protection/>
    </xf>
    <xf numFmtId="0" fontId="16" fillId="0" borderId="34" xfId="0" applyFont="1" applyFill="1" applyBorder="1" applyAlignment="1" applyProtection="1">
      <alignment vertical="center"/>
      <protection/>
    </xf>
    <xf numFmtId="0" fontId="16" fillId="0" borderId="10" xfId="0" applyFont="1" applyFill="1" applyBorder="1" applyAlignment="1" applyProtection="1">
      <alignment vertical="center"/>
      <protection/>
    </xf>
    <xf numFmtId="0" fontId="16" fillId="0" borderId="15" xfId="0" applyFont="1" applyFill="1" applyBorder="1" applyAlignment="1" applyProtection="1">
      <alignment vertical="center"/>
      <protection/>
    </xf>
    <xf numFmtId="0" fontId="16" fillId="0" borderId="11" xfId="0" applyFont="1" applyFill="1" applyBorder="1" applyAlignment="1" applyProtection="1">
      <alignment vertical="center"/>
      <protection/>
    </xf>
    <xf numFmtId="0" fontId="16" fillId="0" borderId="46" xfId="0" applyFont="1" applyFill="1" applyBorder="1" applyAlignment="1" applyProtection="1">
      <alignment vertical="center"/>
      <protection/>
    </xf>
    <xf numFmtId="0" fontId="16" fillId="0" borderId="33" xfId="0" applyFont="1" applyFill="1" applyBorder="1" applyAlignment="1" applyProtection="1">
      <alignment vertical="center"/>
      <protection/>
    </xf>
    <xf numFmtId="0" fontId="16" fillId="0" borderId="33" xfId="0" applyFont="1" applyBorder="1" applyAlignment="1" applyProtection="1">
      <alignment vertical="center"/>
      <protection/>
    </xf>
    <xf numFmtId="0" fontId="23" fillId="0" borderId="56" xfId="0" applyFont="1" applyFill="1" applyBorder="1" applyAlignment="1" applyProtection="1">
      <alignment horizontal="centerContinuous" vertical="center"/>
      <protection/>
    </xf>
    <xf numFmtId="0" fontId="16" fillId="0" borderId="57" xfId="0" applyFont="1" applyFill="1" applyBorder="1" applyAlignment="1" applyProtection="1">
      <alignment horizontal="centerContinuous" vertical="center"/>
      <protection/>
    </xf>
    <xf numFmtId="0" fontId="16" fillId="0" borderId="60" xfId="0" applyFont="1" applyFill="1" applyBorder="1" applyAlignment="1" applyProtection="1">
      <alignment horizontal="centerContinuous" vertical="center"/>
      <protection/>
    </xf>
    <xf numFmtId="0" fontId="16" fillId="0" borderId="61" xfId="0" applyFont="1" applyFill="1" applyBorder="1" applyAlignment="1" applyProtection="1">
      <alignment horizontal="centerContinuous" vertical="center"/>
      <protection/>
    </xf>
    <xf numFmtId="0" fontId="36" fillId="0" borderId="34" xfId="0" applyFont="1" applyFill="1" applyBorder="1" applyAlignment="1" applyProtection="1">
      <alignment vertical="center"/>
      <protection/>
    </xf>
    <xf numFmtId="0" fontId="36" fillId="0" borderId="38"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36" fillId="0" borderId="46" xfId="0" applyFont="1" applyFill="1" applyBorder="1" applyAlignment="1" applyProtection="1">
      <alignment vertical="center"/>
      <protection/>
    </xf>
    <xf numFmtId="0" fontId="16" fillId="0" borderId="0" xfId="0" applyFont="1" applyAlignment="1" applyProtection="1">
      <alignment vertical="center"/>
      <protection/>
    </xf>
    <xf numFmtId="0" fontId="16" fillId="0" borderId="0" xfId="0" applyFont="1" applyAlignment="1">
      <alignment vertical="center"/>
    </xf>
    <xf numFmtId="0" fontId="16" fillId="1" borderId="12" xfId="0" applyFont="1" applyFill="1" applyBorder="1" applyAlignment="1" applyProtection="1">
      <alignment vertical="center"/>
      <protection/>
    </xf>
    <xf numFmtId="0" fontId="16" fillId="1" borderId="10" xfId="0" applyFont="1" applyFill="1" applyBorder="1" applyAlignment="1" applyProtection="1">
      <alignment vertical="center"/>
      <protection/>
    </xf>
    <xf numFmtId="0" fontId="16" fillId="1" borderId="10" xfId="0" applyFont="1" applyFill="1" applyBorder="1" applyAlignment="1" applyProtection="1">
      <alignment horizontal="center" vertical="center"/>
      <protection/>
    </xf>
    <xf numFmtId="0" fontId="16" fillId="1" borderId="24" xfId="0" applyFont="1" applyFill="1" applyBorder="1" applyAlignment="1" applyProtection="1">
      <alignment vertical="center"/>
      <protection/>
    </xf>
    <xf numFmtId="0" fontId="16" fillId="1" borderId="13" xfId="0" applyFont="1" applyFill="1" applyBorder="1" applyAlignment="1" applyProtection="1">
      <alignment vertical="center"/>
      <protection/>
    </xf>
    <xf numFmtId="0" fontId="16" fillId="1" borderId="14" xfId="0" applyFont="1" applyFill="1" applyBorder="1" applyAlignment="1" applyProtection="1">
      <alignment vertical="center"/>
      <protection/>
    </xf>
    <xf numFmtId="0" fontId="29" fillId="1" borderId="0" xfId="0" applyFont="1" applyFill="1" applyBorder="1" applyAlignment="1" applyProtection="1">
      <alignment vertical="center"/>
      <protection/>
    </xf>
    <xf numFmtId="0" fontId="16" fillId="0" borderId="0" xfId="0" applyFont="1" applyAlignment="1">
      <alignment horizontal="centerContinuous" vertical="center"/>
    </xf>
    <xf numFmtId="0" fontId="16" fillId="1" borderId="14" xfId="0" applyFont="1" applyFill="1" applyBorder="1" applyAlignment="1">
      <alignment vertical="center"/>
    </xf>
    <xf numFmtId="0" fontId="23" fillId="0" borderId="62" xfId="0" applyFont="1" applyFill="1" applyBorder="1" applyAlignment="1" applyProtection="1">
      <alignment horizontal="centerContinuous" vertical="center"/>
      <protection/>
    </xf>
    <xf numFmtId="0" fontId="27" fillId="0" borderId="60" xfId="0" applyFont="1" applyFill="1" applyBorder="1" applyAlignment="1" applyProtection="1">
      <alignment horizontal="centerContinuous" vertical="center"/>
      <protection/>
    </xf>
    <xf numFmtId="0" fontId="16" fillId="0" borderId="63" xfId="0" applyFont="1" applyBorder="1" applyAlignment="1" applyProtection="1">
      <alignment horizontal="centerContinuous" vertical="center"/>
      <protection/>
    </xf>
    <xf numFmtId="0" fontId="27" fillId="0" borderId="57" xfId="0" applyFont="1" applyFill="1" applyBorder="1" applyAlignment="1" applyProtection="1">
      <alignment horizontal="centerContinuous" vertical="center"/>
      <protection/>
    </xf>
    <xf numFmtId="0" fontId="11" fillId="0" borderId="57" xfId="0" applyFont="1" applyFill="1" applyBorder="1" applyAlignment="1" applyProtection="1">
      <alignment horizontal="centerContinuous" vertical="center"/>
      <protection/>
    </xf>
    <xf numFmtId="0" fontId="16" fillId="0" borderId="57" xfId="0" applyFont="1" applyBorder="1" applyAlignment="1" applyProtection="1">
      <alignment horizontal="centerContinuous" vertical="center"/>
      <protection/>
    </xf>
    <xf numFmtId="0" fontId="16" fillId="0" borderId="58" xfId="0" applyFont="1" applyBorder="1" applyAlignment="1" applyProtection="1">
      <alignment horizontal="centerContinuous" vertical="center"/>
      <protection/>
    </xf>
    <xf numFmtId="0" fontId="9" fillId="1" borderId="0" xfId="0" applyFont="1" applyFill="1" applyBorder="1" applyAlignment="1" applyProtection="1">
      <alignment vertical="center"/>
      <protection/>
    </xf>
    <xf numFmtId="0" fontId="12" fillId="0" borderId="57" xfId="0" applyFont="1" applyFill="1" applyBorder="1" applyAlignment="1" applyProtection="1">
      <alignment horizontal="centerContinuous" vertical="center"/>
      <protection/>
    </xf>
    <xf numFmtId="0" fontId="12" fillId="0" borderId="60" xfId="0" applyFont="1" applyFill="1" applyBorder="1" applyAlignment="1" applyProtection="1">
      <alignment horizontal="centerContinuous" vertical="center"/>
      <protection/>
    </xf>
    <xf numFmtId="0" fontId="12" fillId="0" borderId="61" xfId="0" applyFont="1" applyFill="1" applyBorder="1" applyAlignment="1" applyProtection="1">
      <alignment horizontal="centerContinuous" vertical="center"/>
      <protection/>
    </xf>
    <xf numFmtId="0" fontId="16" fillId="0" borderId="38"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protection/>
    </xf>
    <xf numFmtId="0" fontId="16" fillId="0" borderId="12" xfId="0" applyFont="1" applyBorder="1" applyAlignment="1" applyProtection="1">
      <alignment horizontal="centerContinuous" vertical="center"/>
      <protection/>
    </xf>
    <xf numFmtId="0" fontId="16" fillId="0" borderId="24" xfId="0" applyFont="1" applyBorder="1" applyAlignment="1" applyProtection="1">
      <alignment horizontal="centerContinuous" vertical="center"/>
      <protection/>
    </xf>
    <xf numFmtId="0" fontId="16" fillId="0" borderId="36" xfId="0" applyFont="1" applyBorder="1" applyAlignment="1" applyProtection="1">
      <alignment horizontal="centerContinuous" vertical="center"/>
      <protection/>
    </xf>
    <xf numFmtId="0" fontId="16" fillId="0" borderId="25" xfId="0" applyFont="1" applyBorder="1" applyAlignment="1" applyProtection="1">
      <alignment vertical="center"/>
      <protection/>
    </xf>
    <xf numFmtId="0" fontId="16" fillId="0" borderId="13" xfId="0" applyFont="1" applyBorder="1" applyAlignment="1" applyProtection="1">
      <alignment horizontal="centerContinuous" vertical="center"/>
      <protection/>
    </xf>
    <xf numFmtId="0" fontId="16" fillId="0" borderId="14" xfId="0" applyFont="1" applyBorder="1" applyAlignment="1" applyProtection="1">
      <alignment horizontal="centerContinuous" vertical="center"/>
      <protection/>
    </xf>
    <xf numFmtId="0" fontId="16" fillId="0" borderId="40" xfId="0" applyFont="1" applyBorder="1" applyAlignment="1" applyProtection="1">
      <alignment horizontal="centerContinuous" vertical="center"/>
      <protection/>
    </xf>
    <xf numFmtId="0" fontId="16" fillId="0" borderId="0" xfId="0" applyFont="1" applyBorder="1" applyAlignment="1">
      <alignment vertical="center"/>
    </xf>
    <xf numFmtId="0" fontId="23" fillId="0" borderId="64" xfId="0" applyFont="1" applyBorder="1" applyAlignment="1" applyProtection="1">
      <alignment horizontal="centerContinuous" vertical="center"/>
      <protection/>
    </xf>
    <xf numFmtId="0" fontId="23" fillId="0" borderId="65" xfId="0" applyFont="1" applyBorder="1" applyAlignment="1" applyProtection="1">
      <alignment horizontal="centerContinuous" vertical="center"/>
      <protection/>
    </xf>
    <xf numFmtId="0" fontId="23" fillId="0" borderId="61" xfId="0" applyFont="1" applyBorder="1" applyAlignment="1" applyProtection="1">
      <alignment horizontal="centerContinuous" vertical="center"/>
      <protection/>
    </xf>
    <xf numFmtId="0" fontId="9" fillId="0" borderId="62" xfId="0" applyFont="1" applyBorder="1" applyAlignment="1" applyProtection="1">
      <alignment horizontal="center" vertical="center"/>
      <protection/>
    </xf>
    <xf numFmtId="0" fontId="9" fillId="0" borderId="66" xfId="0" applyFont="1" applyBorder="1" applyAlignment="1" applyProtection="1">
      <alignment horizontal="centerContinuous" vertical="center"/>
      <protection/>
    </xf>
    <xf numFmtId="0" fontId="9" fillId="0" borderId="60" xfId="0" applyFont="1" applyBorder="1" applyAlignment="1" applyProtection="1">
      <alignment horizontal="centerContinuous" vertical="center"/>
      <protection/>
    </xf>
    <xf numFmtId="0" fontId="9" fillId="0" borderId="62" xfId="0" applyFont="1" applyBorder="1" applyAlignment="1" applyProtection="1">
      <alignment horizontal="centerContinuous" vertical="center"/>
      <protection/>
    </xf>
    <xf numFmtId="0" fontId="16" fillId="0" borderId="60" xfId="0" applyFont="1" applyBorder="1" applyAlignment="1" applyProtection="1">
      <alignment horizontal="centerContinuous" vertical="center"/>
      <protection/>
    </xf>
    <xf numFmtId="0" fontId="16" fillId="0" borderId="67" xfId="0" applyFont="1" applyBorder="1" applyAlignment="1" applyProtection="1">
      <alignment horizontal="centerContinuous" vertical="center"/>
      <protection/>
    </xf>
    <xf numFmtId="0" fontId="16" fillId="0" borderId="61" xfId="0" applyFont="1" applyBorder="1" applyAlignment="1" applyProtection="1">
      <alignment horizontal="centerContinuous" vertical="center"/>
      <protection/>
    </xf>
    <xf numFmtId="0" fontId="9" fillId="0" borderId="38" xfId="0" applyFont="1" applyBorder="1" applyAlignment="1" applyProtection="1">
      <alignment horizontal="centerContinuous" vertical="center"/>
      <protection/>
    </xf>
    <xf numFmtId="0" fontId="9" fillId="0" borderId="13" xfId="0" applyFont="1" applyBorder="1" applyAlignment="1" applyProtection="1">
      <alignment horizontal="centerContinuous" vertical="center"/>
      <protection/>
    </xf>
    <xf numFmtId="0" fontId="9" fillId="0" borderId="0" xfId="0" applyFont="1" applyBorder="1" applyAlignment="1" applyProtection="1">
      <alignment horizontal="centerContinuous" vertical="center"/>
      <protection/>
    </xf>
    <xf numFmtId="0" fontId="32" fillId="0" borderId="34" xfId="0" applyFont="1" applyBorder="1" applyAlignment="1" applyProtection="1">
      <alignment horizontal="centerContinuous" vertical="center"/>
      <protection/>
    </xf>
    <xf numFmtId="0" fontId="32" fillId="0" borderId="10" xfId="0" applyFont="1" applyBorder="1" applyAlignment="1" applyProtection="1">
      <alignment horizontal="centerContinuous" vertical="center"/>
      <protection/>
    </xf>
    <xf numFmtId="0" fontId="32" fillId="0" borderId="12" xfId="0" applyFont="1" applyBorder="1" applyAlignment="1" applyProtection="1">
      <alignment horizontal="centerContinuous" vertical="center"/>
      <protection/>
    </xf>
    <xf numFmtId="0" fontId="24" fillId="0" borderId="37" xfId="0" applyFont="1" applyBorder="1" applyAlignment="1" applyProtection="1">
      <alignment horizontal="centerContinuous" vertical="center"/>
      <protection/>
    </xf>
    <xf numFmtId="0" fontId="24" fillId="0" borderId="12" xfId="0" applyFont="1" applyBorder="1" applyAlignment="1" applyProtection="1">
      <alignment horizontal="centerContinuous" vertical="center"/>
      <protection/>
    </xf>
    <xf numFmtId="14" fontId="24" fillId="0" borderId="55" xfId="0" applyNumberFormat="1" applyFont="1" applyBorder="1" applyAlignment="1" applyProtection="1">
      <alignment horizontal="centerContinuous" vertical="center"/>
      <protection/>
    </xf>
    <xf numFmtId="14" fontId="24" fillId="0" borderId="15" xfId="0" applyNumberFormat="1" applyFont="1" applyBorder="1" applyAlignment="1" applyProtection="1">
      <alignment horizontal="centerContinuous" vertical="center"/>
      <protection/>
    </xf>
    <xf numFmtId="0" fontId="24" fillId="0" borderId="35" xfId="0" applyFont="1" applyBorder="1" applyAlignment="1" applyProtection="1">
      <alignment horizontal="centerContinuous" vertical="center"/>
      <protection/>
    </xf>
    <xf numFmtId="14" fontId="24" fillId="0" borderId="68" xfId="0" applyNumberFormat="1" applyFont="1" applyBorder="1" applyAlignment="1" applyProtection="1">
      <alignment horizontal="centerContinuous" vertical="center"/>
      <protection/>
    </xf>
    <xf numFmtId="14" fontId="24" fillId="0" borderId="23" xfId="0" applyNumberFormat="1" applyFont="1" applyBorder="1" applyAlignment="1" applyProtection="1">
      <alignment horizontal="centerContinuous" vertical="center"/>
      <protection/>
    </xf>
    <xf numFmtId="14" fontId="24" fillId="0" borderId="41" xfId="0" applyNumberFormat="1" applyFont="1" applyBorder="1" applyAlignment="1" applyProtection="1">
      <alignment horizontal="centerContinuous" vertical="center"/>
      <protection/>
    </xf>
    <xf numFmtId="14" fontId="24" fillId="0" borderId="13" xfId="0" applyNumberFormat="1" applyFont="1" applyBorder="1" applyAlignment="1" applyProtection="1">
      <alignment horizontal="centerContinuous" vertical="center"/>
      <protection/>
    </xf>
    <xf numFmtId="14" fontId="24" fillId="0" borderId="39" xfId="0" applyNumberFormat="1" applyFont="1" applyBorder="1" applyAlignment="1" applyProtection="1">
      <alignment horizontal="centerContinuous" vertical="center"/>
      <protection/>
    </xf>
    <xf numFmtId="0" fontId="9" fillId="0" borderId="38" xfId="0" applyFont="1" applyBorder="1" applyAlignment="1" applyProtection="1">
      <alignment horizontal="center" vertical="center"/>
      <protection/>
    </xf>
    <xf numFmtId="0" fontId="9" fillId="0" borderId="40" xfId="0" applyFont="1" applyBorder="1" applyAlignment="1" applyProtection="1">
      <alignment horizontal="centerContinuous" vertical="center"/>
      <protection/>
    </xf>
    <xf numFmtId="0" fontId="24" fillId="0" borderId="41"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24" fillId="0" borderId="39"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16" fillId="1" borderId="46" xfId="0" applyFont="1" applyFill="1" applyBorder="1" applyAlignment="1" applyProtection="1">
      <alignment vertical="center"/>
      <protection/>
    </xf>
    <xf numFmtId="0" fontId="16" fillId="1" borderId="33" xfId="0" applyFont="1" applyFill="1" applyBorder="1" applyAlignment="1" applyProtection="1">
      <alignment vertical="center"/>
      <protection/>
    </xf>
    <xf numFmtId="0" fontId="24" fillId="0" borderId="69" xfId="0" applyFont="1" applyBorder="1" applyAlignment="1" applyProtection="1">
      <alignment horizontal="centerContinuous" vertical="center"/>
      <protection/>
    </xf>
    <xf numFmtId="0" fontId="24" fillId="0" borderId="51" xfId="0" applyFont="1" applyBorder="1" applyAlignment="1" applyProtection="1">
      <alignment horizontal="centerContinuous" vertical="center"/>
      <protection/>
    </xf>
    <xf numFmtId="0" fontId="9" fillId="0" borderId="51" xfId="0" applyFont="1" applyBorder="1" applyAlignment="1" applyProtection="1">
      <alignment horizontal="right" vertical="center"/>
      <protection/>
    </xf>
    <xf numFmtId="0" fontId="16" fillId="1" borderId="31" xfId="0" applyFont="1" applyFill="1" applyBorder="1" applyAlignment="1">
      <alignment vertical="center"/>
    </xf>
    <xf numFmtId="0" fontId="16" fillId="1" borderId="11" xfId="0" applyFont="1" applyFill="1" applyBorder="1" applyAlignment="1">
      <alignment vertical="center"/>
    </xf>
    <xf numFmtId="0" fontId="16" fillId="1" borderId="25" xfId="0" applyFont="1" applyFill="1" applyBorder="1" applyAlignment="1">
      <alignment vertical="center"/>
    </xf>
    <xf numFmtId="14" fontId="16" fillId="0" borderId="0" xfId="0" applyNumberFormat="1" applyFont="1" applyAlignment="1">
      <alignment vertical="center"/>
    </xf>
    <xf numFmtId="0" fontId="22" fillId="0" borderId="11" xfId="0" applyFont="1" applyFill="1" applyBorder="1" applyAlignment="1" applyProtection="1">
      <alignment horizontal="centerContinuous" vertical="center"/>
      <protection/>
    </xf>
    <xf numFmtId="0" fontId="16" fillId="1" borderId="13" xfId="0" applyFont="1" applyFill="1" applyBorder="1" applyAlignment="1">
      <alignment vertical="center"/>
    </xf>
    <xf numFmtId="0" fontId="26" fillId="1" borderId="13" xfId="0" applyFont="1" applyFill="1" applyBorder="1" applyAlignment="1" applyProtection="1">
      <alignment vertical="center"/>
      <protection/>
    </xf>
    <xf numFmtId="0" fontId="26" fillId="1" borderId="0" xfId="0" applyFont="1" applyFill="1" applyBorder="1" applyAlignment="1" applyProtection="1">
      <alignment vertical="center"/>
      <protection/>
    </xf>
    <xf numFmtId="0" fontId="26" fillId="1" borderId="14" xfId="0" applyFont="1" applyFill="1" applyBorder="1" applyAlignment="1" applyProtection="1">
      <alignment vertical="center"/>
      <protection/>
    </xf>
    <xf numFmtId="0" fontId="9" fillId="0" borderId="57" xfId="0" applyFont="1" applyFill="1" applyBorder="1" applyAlignment="1" applyProtection="1">
      <alignment horizontal="centerContinuous" vertical="center"/>
      <protection/>
    </xf>
    <xf numFmtId="0" fontId="9" fillId="0" borderId="58" xfId="0" applyFont="1" applyFill="1" applyBorder="1" applyAlignment="1" applyProtection="1">
      <alignment horizontal="centerContinuous" vertical="center"/>
      <protection/>
    </xf>
    <xf numFmtId="0" fontId="16" fillId="0" borderId="68" xfId="0" applyFont="1" applyBorder="1" applyAlignment="1" applyProtection="1">
      <alignment vertical="center"/>
      <protection/>
    </xf>
    <xf numFmtId="0" fontId="26" fillId="0" borderId="15" xfId="0" applyFont="1" applyFill="1" applyBorder="1" applyAlignment="1" applyProtection="1">
      <alignment horizontal="centerContinuous" vertical="center"/>
      <protection/>
    </xf>
    <xf numFmtId="0" fontId="26" fillId="0" borderId="59" xfId="0" applyFont="1" applyFill="1" applyBorder="1" applyAlignment="1" applyProtection="1">
      <alignment horizontal="centerContinuous" vertical="center"/>
      <protection/>
    </xf>
    <xf numFmtId="0" fontId="16" fillId="0" borderId="70" xfId="0" applyFont="1" applyBorder="1" applyAlignment="1" applyProtection="1">
      <alignment vertical="center"/>
      <protection/>
    </xf>
    <xf numFmtId="0" fontId="16" fillId="0" borderId="38" xfId="0" applyFont="1" applyFill="1" applyBorder="1" applyAlignment="1" applyProtection="1">
      <alignment vertical="center"/>
      <protection/>
    </xf>
    <xf numFmtId="0" fontId="16" fillId="1" borderId="0" xfId="0" applyFont="1" applyFill="1" applyBorder="1" applyAlignment="1" applyProtection="1">
      <alignment horizontal="left" vertical="center"/>
      <protection/>
    </xf>
    <xf numFmtId="0" fontId="9" fillId="0" borderId="28"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2" xfId="0" applyFont="1" applyBorder="1" applyAlignment="1" applyProtection="1">
      <alignment horizontal="centerContinuous" vertical="center"/>
      <protection/>
    </xf>
    <xf numFmtId="0" fontId="9" fillId="0" borderId="10" xfId="0" applyFont="1" applyBorder="1" applyAlignment="1" applyProtection="1">
      <alignment horizontal="centerContinuous" vertical="center"/>
      <protection/>
    </xf>
    <xf numFmtId="0" fontId="9" fillId="0" borderId="24" xfId="0" applyFont="1" applyBorder="1" applyAlignment="1" applyProtection="1">
      <alignment horizontal="centerContinuous" vertical="center"/>
      <protection/>
    </xf>
    <xf numFmtId="0" fontId="9" fillId="0" borderId="29" xfId="0" applyFont="1" applyBorder="1" applyAlignment="1" applyProtection="1">
      <alignment horizontal="centerContinuous" vertical="center"/>
      <protection/>
    </xf>
    <xf numFmtId="0" fontId="9" fillId="0" borderId="13" xfId="0" applyFont="1" applyBorder="1" applyAlignment="1" applyProtection="1">
      <alignment horizontal="left" vertical="center"/>
      <protection/>
    </xf>
    <xf numFmtId="0" fontId="9" fillId="0" borderId="14" xfId="0" applyFont="1" applyBorder="1" applyAlignment="1" applyProtection="1">
      <alignment horizontal="centerContinuous" vertical="center"/>
      <protection/>
    </xf>
    <xf numFmtId="0" fontId="9" fillId="0" borderId="31" xfId="0" applyFont="1" applyBorder="1" applyAlignment="1" applyProtection="1">
      <alignment horizontal="centerContinuous" vertical="center"/>
      <protection/>
    </xf>
    <xf numFmtId="0" fontId="16" fillId="0" borderId="44" xfId="0" applyFont="1" applyBorder="1" applyAlignment="1" applyProtection="1">
      <alignment horizontal="centerContinuous" vertical="center"/>
      <protection/>
    </xf>
    <xf numFmtId="0" fontId="9" fillId="0" borderId="29"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9" fontId="16" fillId="33" borderId="38" xfId="59" applyFont="1" applyFill="1" applyBorder="1" applyAlignment="1" applyProtection="1">
      <alignment horizontal="center" vertical="center"/>
      <protection/>
    </xf>
    <xf numFmtId="9" fontId="16" fillId="33" borderId="0" xfId="59" applyFont="1" applyFill="1" applyBorder="1" applyAlignment="1" applyProtection="1">
      <alignment horizontal="center" vertical="center"/>
      <protection/>
    </xf>
    <xf numFmtId="0" fontId="9" fillId="0" borderId="31" xfId="0" applyFont="1" applyBorder="1" applyAlignment="1" applyProtection="1">
      <alignment horizontal="right" vertical="center"/>
      <protection/>
    </xf>
    <xf numFmtId="0" fontId="9" fillId="0" borderId="11" xfId="0" applyFont="1" applyBorder="1" applyAlignment="1" applyProtection="1">
      <alignment horizontal="right" vertical="center"/>
      <protection/>
    </xf>
    <xf numFmtId="0" fontId="9" fillId="0" borderId="45" xfId="0" applyFont="1" applyBorder="1" applyAlignment="1" applyProtection="1">
      <alignment horizontal="right" vertical="center"/>
      <protection/>
    </xf>
    <xf numFmtId="0" fontId="31" fillId="0" borderId="31" xfId="0" applyFont="1" applyBorder="1" applyAlignment="1" applyProtection="1">
      <alignment horizontal="center" vertical="center"/>
      <protection/>
    </xf>
    <xf numFmtId="0" fontId="31" fillId="0" borderId="42" xfId="0" applyFont="1" applyBorder="1" applyAlignment="1" applyProtection="1">
      <alignment horizontal="center" vertical="center"/>
      <protection/>
    </xf>
    <xf numFmtId="0" fontId="9" fillId="0" borderId="23" xfId="0" applyFont="1" applyBorder="1" applyAlignment="1" applyProtection="1">
      <alignment horizontal="right" vertical="center"/>
      <protection/>
    </xf>
    <xf numFmtId="0" fontId="9" fillId="0" borderId="15" xfId="0" applyFont="1" applyBorder="1" applyAlignment="1" applyProtection="1">
      <alignment horizontal="right" vertical="center"/>
      <protection/>
    </xf>
    <xf numFmtId="0" fontId="9" fillId="0" borderId="27" xfId="0" applyFont="1" applyBorder="1" applyAlignment="1" applyProtection="1">
      <alignment horizontal="right" vertical="center"/>
      <protection/>
    </xf>
    <xf numFmtId="166" fontId="31" fillId="0" borderId="23" xfId="44" applyNumberFormat="1" applyFont="1" applyBorder="1" applyAlignment="1" applyProtection="1">
      <alignment horizontal="center" vertical="center"/>
      <protection/>
    </xf>
    <xf numFmtId="166" fontId="31" fillId="0" borderId="71" xfId="44" applyNumberFormat="1" applyFont="1" applyBorder="1" applyAlignment="1" applyProtection="1">
      <alignment horizontal="center" vertical="center"/>
      <protection/>
    </xf>
    <xf numFmtId="9" fontId="16" fillId="33" borderId="46" xfId="59" applyFont="1" applyFill="1" applyBorder="1" applyAlignment="1" applyProtection="1">
      <alignment horizontal="center" vertical="center"/>
      <protection/>
    </xf>
    <xf numFmtId="9" fontId="16" fillId="33" borderId="33" xfId="59" applyFont="1" applyFill="1" applyBorder="1" applyAlignment="1" applyProtection="1">
      <alignment horizontal="center" vertical="center"/>
      <protection/>
    </xf>
    <xf numFmtId="0" fontId="9" fillId="0" borderId="69" xfId="0" applyFont="1" applyBorder="1" applyAlignment="1" applyProtection="1">
      <alignment horizontal="right" vertical="center"/>
      <protection/>
    </xf>
    <xf numFmtId="0" fontId="9" fillId="0" borderId="72" xfId="0" applyFont="1" applyBorder="1" applyAlignment="1" applyProtection="1">
      <alignment horizontal="right" vertical="center"/>
      <protection/>
    </xf>
    <xf numFmtId="3" fontId="31" fillId="0" borderId="69" xfId="44" applyNumberFormat="1" applyFont="1" applyBorder="1" applyAlignment="1" applyProtection="1">
      <alignment horizontal="centerContinuous" vertical="center"/>
      <protection/>
    </xf>
    <xf numFmtId="3" fontId="31" fillId="0" borderId="72" xfId="44" applyNumberFormat="1" applyFont="1" applyBorder="1" applyAlignment="1" applyProtection="1">
      <alignment horizontal="centerContinuous" vertical="center"/>
      <protection/>
    </xf>
    <xf numFmtId="3" fontId="31" fillId="0" borderId="73" xfId="44" applyNumberFormat="1" applyFont="1" applyBorder="1" applyAlignment="1" applyProtection="1">
      <alignment horizontal="centerContinuous" vertical="center"/>
      <protection/>
    </xf>
    <xf numFmtId="0" fontId="23" fillId="0" borderId="60" xfId="0" applyFont="1" applyBorder="1" applyAlignment="1" applyProtection="1">
      <alignment horizontal="centerContinuous" vertical="center"/>
      <protection/>
    </xf>
    <xf numFmtId="0" fontId="14" fillId="0" borderId="12" xfId="0" applyFont="1" applyBorder="1" applyAlignment="1" applyProtection="1">
      <alignment horizontal="centerContinuous" vertical="center"/>
      <protection/>
    </xf>
    <xf numFmtId="0" fontId="14" fillId="0" borderId="10" xfId="0" applyFont="1" applyBorder="1" applyAlignment="1" applyProtection="1">
      <alignment horizontal="centerContinuous" vertical="center"/>
      <protection/>
    </xf>
    <xf numFmtId="0" fontId="14" fillId="0" borderId="24" xfId="0" applyFont="1" applyBorder="1" applyAlignment="1" applyProtection="1">
      <alignment horizontal="centerContinuous" vertical="center"/>
      <protection/>
    </xf>
    <xf numFmtId="0" fontId="32" fillId="0" borderId="0" xfId="0" applyFont="1" applyBorder="1" applyAlignment="1" applyProtection="1">
      <alignment horizontal="centerContinuous" vertical="center"/>
      <protection/>
    </xf>
    <xf numFmtId="0" fontId="32" fillId="0" borderId="40" xfId="0" applyFont="1" applyBorder="1" applyAlignment="1" applyProtection="1">
      <alignment horizontal="centerContinuous" vertical="center"/>
      <protection/>
    </xf>
    <xf numFmtId="0" fontId="24" fillId="0" borderId="55" xfId="0" applyFont="1" applyBorder="1" applyAlignment="1" applyProtection="1">
      <alignment horizontal="center" vertical="center" wrapText="1"/>
      <protection/>
    </xf>
    <xf numFmtId="0" fontId="16" fillId="1" borderId="0" xfId="0" applyFont="1" applyFill="1" applyBorder="1" applyAlignment="1">
      <alignment vertical="center"/>
    </xf>
    <xf numFmtId="0" fontId="16" fillId="0" borderId="11" xfId="0" applyFont="1" applyBorder="1" applyAlignment="1">
      <alignment vertical="center"/>
    </xf>
    <xf numFmtId="0" fontId="16" fillId="0" borderId="0" xfId="0" applyFont="1" applyFill="1" applyBorder="1" applyAlignment="1">
      <alignment horizontal="centerContinuous" vertical="center"/>
    </xf>
    <xf numFmtId="0" fontId="16" fillId="0" borderId="0" xfId="0" applyFont="1" applyFill="1" applyBorder="1" applyAlignment="1">
      <alignment vertical="center"/>
    </xf>
    <xf numFmtId="0" fontId="16" fillId="1" borderId="12" xfId="0" applyFont="1" applyFill="1" applyBorder="1" applyAlignment="1">
      <alignment vertical="center"/>
    </xf>
    <xf numFmtId="0" fontId="16" fillId="1" borderId="10" xfId="0" applyFont="1" applyFill="1" applyBorder="1" applyAlignment="1">
      <alignment vertical="center"/>
    </xf>
    <xf numFmtId="0" fontId="16" fillId="1" borderId="24" xfId="0" applyFont="1" applyFill="1" applyBorder="1" applyAlignment="1">
      <alignment vertical="center"/>
    </xf>
    <xf numFmtId="0" fontId="16" fillId="0" borderId="12" xfId="0" applyFont="1" applyFill="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horizontal="centerContinuous" vertical="center"/>
    </xf>
    <xf numFmtId="0" fontId="16" fillId="0" borderId="10" xfId="0" applyFont="1" applyFill="1" applyBorder="1" applyAlignment="1">
      <alignment horizontal="center" vertical="center"/>
    </xf>
    <xf numFmtId="0" fontId="16" fillId="0" borderId="24" xfId="0" applyFont="1" applyFill="1" applyBorder="1" applyAlignment="1">
      <alignment vertical="center"/>
    </xf>
    <xf numFmtId="0" fontId="15" fillId="0" borderId="0" xfId="0" applyFont="1" applyBorder="1" applyAlignment="1">
      <alignment horizontal="center" vertical="center"/>
    </xf>
    <xf numFmtId="0" fontId="16" fillId="0" borderId="13" xfId="0" applyFont="1" applyFill="1" applyBorder="1" applyAlignment="1">
      <alignment vertical="center"/>
    </xf>
    <xf numFmtId="0" fontId="16" fillId="0" borderId="0" xfId="0" applyFont="1" applyFill="1" applyBorder="1" applyAlignment="1">
      <alignment horizontal="center" vertical="center"/>
    </xf>
    <xf numFmtId="0" fontId="16" fillId="0" borderId="14" xfId="0" applyFont="1" applyFill="1" applyBorder="1" applyAlignment="1">
      <alignment vertical="center"/>
    </xf>
    <xf numFmtId="0" fontId="12" fillId="0" borderId="0" xfId="0" applyFont="1" applyFill="1" applyBorder="1" applyAlignment="1">
      <alignment horizontal="center" vertical="center"/>
    </xf>
    <xf numFmtId="0" fontId="16" fillId="0" borderId="31" xfId="0" applyFont="1" applyFill="1" applyBorder="1" applyAlignment="1">
      <alignment vertical="center"/>
    </xf>
    <xf numFmtId="0" fontId="16" fillId="0" borderId="11" xfId="0" applyFont="1" applyFill="1" applyBorder="1" applyAlignment="1">
      <alignment vertical="center"/>
    </xf>
    <xf numFmtId="0" fontId="16" fillId="0" borderId="11" xfId="0" applyFont="1" applyFill="1" applyBorder="1" applyAlignment="1">
      <alignment horizontal="centerContinuous" vertical="center"/>
    </xf>
    <xf numFmtId="0" fontId="23" fillId="0" borderId="11" xfId="0" applyFont="1" applyFill="1" applyBorder="1" applyAlignment="1">
      <alignment horizontal="center" vertical="center"/>
    </xf>
    <xf numFmtId="0" fontId="16" fillId="0" borderId="25" xfId="0" applyFont="1" applyFill="1" applyBorder="1" applyAlignment="1">
      <alignment vertical="center"/>
    </xf>
    <xf numFmtId="175" fontId="16" fillId="0" borderId="0" xfId="59" applyNumberFormat="1" applyFont="1" applyBorder="1" applyAlignment="1">
      <alignment horizontal="center" vertical="center"/>
    </xf>
    <xf numFmtId="0" fontId="23" fillId="0" borderId="64" xfId="0" applyFont="1" applyFill="1" applyBorder="1" applyAlignment="1">
      <alignment horizontal="centerContinuous" vertical="center"/>
    </xf>
    <xf numFmtId="0" fontId="12" fillId="0" borderId="65" xfId="0" applyFont="1" applyFill="1" applyBorder="1" applyAlignment="1">
      <alignment horizontal="centerContinuous" vertical="center"/>
    </xf>
    <xf numFmtId="0" fontId="12" fillId="0" borderId="74" xfId="0" applyFont="1" applyFill="1" applyBorder="1" applyAlignment="1">
      <alignment horizontal="centerContinuous" vertical="center"/>
    </xf>
    <xf numFmtId="0" fontId="16" fillId="0" borderId="23" xfId="0" applyFont="1" applyBorder="1" applyAlignment="1">
      <alignment horizontal="centerContinuous" vertical="center"/>
    </xf>
    <xf numFmtId="0" fontId="16" fillId="0" borderId="68" xfId="0" applyFont="1" applyBorder="1" applyAlignment="1">
      <alignment horizontal="centerContinuous" vertical="center"/>
    </xf>
    <xf numFmtId="0" fontId="16" fillId="0" borderId="38"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13" xfId="0" applyFont="1" applyFill="1" applyBorder="1" applyAlignment="1">
      <alignment horizontal="centerContinuous" vertical="center"/>
    </xf>
    <xf numFmtId="0" fontId="16" fillId="0" borderId="14" xfId="0" applyFont="1" applyFill="1" applyBorder="1" applyAlignment="1">
      <alignment horizontal="centerContinuous" vertical="center"/>
    </xf>
    <xf numFmtId="0" fontId="12" fillId="0" borderId="0" xfId="0" applyFont="1" applyBorder="1" applyAlignment="1">
      <alignment horizontal="centerContinuous" vertical="center"/>
    </xf>
    <xf numFmtId="0" fontId="16" fillId="0" borderId="44" xfId="0" applyFont="1" applyFill="1" applyBorder="1" applyAlignment="1">
      <alignment horizontal="centerContinuous" vertical="center"/>
    </xf>
    <xf numFmtId="0" fontId="14" fillId="0" borderId="37" xfId="0" applyFont="1" applyBorder="1" applyAlignment="1">
      <alignment horizontal="center" vertical="center"/>
    </xf>
    <xf numFmtId="0" fontId="16" fillId="0" borderId="38" xfId="0" applyFont="1" applyFill="1" applyBorder="1" applyAlignment="1">
      <alignment vertical="center"/>
    </xf>
    <xf numFmtId="0" fontId="16" fillId="0" borderId="13" xfId="0" applyFont="1" applyBorder="1" applyAlignment="1">
      <alignment horizontal="center" vertical="center"/>
    </xf>
    <xf numFmtId="0" fontId="16" fillId="0" borderId="41" xfId="0" applyFont="1" applyBorder="1" applyAlignment="1">
      <alignment horizontal="center" vertical="center"/>
    </xf>
    <xf numFmtId="0" fontId="16" fillId="0" borderId="13" xfId="0" applyFont="1" applyBorder="1" applyAlignment="1">
      <alignment horizontal="centerContinuous" vertical="center"/>
    </xf>
    <xf numFmtId="0" fontId="16" fillId="0" borderId="14" xfId="0" applyFont="1" applyBorder="1" applyAlignment="1">
      <alignment horizontal="centerContinuous" vertical="center"/>
    </xf>
    <xf numFmtId="0" fontId="16" fillId="0" borderId="12" xfId="0" applyFont="1" applyFill="1" applyBorder="1" applyAlignment="1">
      <alignment horizontal="centerContinuous" vertical="center"/>
    </xf>
    <xf numFmtId="0" fontId="16" fillId="0" borderId="24" xfId="0" applyFont="1" applyFill="1" applyBorder="1" applyAlignment="1">
      <alignment horizontal="centerContinuous" vertical="center"/>
    </xf>
    <xf numFmtId="0" fontId="16" fillId="0" borderId="40" xfId="0" applyFont="1" applyFill="1" applyBorder="1" applyAlignment="1">
      <alignment horizontal="centerContinuous" vertical="center"/>
    </xf>
    <xf numFmtId="0" fontId="14" fillId="0" borderId="41" xfId="0" applyFont="1" applyBorder="1" applyAlignment="1">
      <alignment horizontal="center" vertical="center"/>
    </xf>
    <xf numFmtId="0" fontId="16" fillId="0" borderId="26" xfId="0" applyFont="1" applyFill="1" applyBorder="1" applyAlignment="1">
      <alignment vertical="center"/>
    </xf>
    <xf numFmtId="0" fontId="16" fillId="0" borderId="31" xfId="0" applyFont="1" applyBorder="1" applyAlignment="1">
      <alignment vertical="center"/>
    </xf>
    <xf numFmtId="0" fontId="16" fillId="0" borderId="45" xfId="0" applyFont="1" applyBorder="1" applyAlignment="1">
      <alignment vertical="center"/>
    </xf>
    <xf numFmtId="0" fontId="16" fillId="0" borderId="31" xfId="0" applyFont="1" applyFill="1" applyBorder="1" applyAlignment="1">
      <alignment horizontal="centerContinuous" vertical="center"/>
    </xf>
    <xf numFmtId="0" fontId="16" fillId="0" borderId="25" xfId="0" applyFont="1" applyFill="1" applyBorder="1" applyAlignment="1">
      <alignment horizontal="centerContinuous" vertical="center"/>
    </xf>
    <xf numFmtId="0" fontId="16" fillId="0" borderId="31" xfId="0" applyFont="1" applyBorder="1" applyAlignment="1">
      <alignment horizontal="centerContinuous" vertical="center"/>
    </xf>
    <xf numFmtId="0" fontId="16" fillId="0" borderId="25" xfId="0" applyFont="1" applyBorder="1" applyAlignment="1">
      <alignment horizontal="centerContinuous" vertical="center"/>
    </xf>
    <xf numFmtId="0" fontId="16" fillId="0" borderId="11" xfId="0" applyFont="1" applyBorder="1" applyAlignment="1">
      <alignment horizontal="centerContinuous" vertical="center"/>
    </xf>
    <xf numFmtId="0" fontId="14" fillId="0" borderId="45" xfId="0" applyFont="1" applyBorder="1" applyAlignment="1">
      <alignment horizontal="center" vertical="center"/>
    </xf>
    <xf numFmtId="0" fontId="16" fillId="0" borderId="25" xfId="0" applyFont="1" applyBorder="1" applyAlignment="1">
      <alignment vertical="center"/>
    </xf>
    <xf numFmtId="180" fontId="16" fillId="0" borderId="25" xfId="0" applyNumberFormat="1" applyFont="1" applyBorder="1" applyAlignment="1">
      <alignment horizontal="center" vertical="center"/>
    </xf>
    <xf numFmtId="0" fontId="16" fillId="0" borderId="23" xfId="0" applyFont="1" applyBorder="1" applyAlignment="1">
      <alignment horizontal="center" vertical="center"/>
    </xf>
    <xf numFmtId="6" fontId="16" fillId="0" borderId="13" xfId="44" applyNumberFormat="1" applyFont="1" applyFill="1" applyBorder="1" applyAlignment="1">
      <alignment horizontal="centerContinuous" vertical="center"/>
    </xf>
    <xf numFmtId="38" fontId="16" fillId="0" borderId="13" xfId="44" applyNumberFormat="1" applyFont="1" applyFill="1" applyBorder="1" applyAlignment="1">
      <alignment horizontal="centerContinuous" vertical="center"/>
    </xf>
    <xf numFmtId="2" fontId="16" fillId="0" borderId="12" xfId="0" applyNumberFormat="1" applyFont="1" applyFill="1" applyBorder="1" applyAlignment="1">
      <alignment horizontal="centerContinuous" vertical="center"/>
    </xf>
    <xf numFmtId="8" fontId="16" fillId="0" borderId="13" xfId="44" applyNumberFormat="1" applyFont="1" applyFill="1" applyBorder="1" applyAlignment="1">
      <alignment horizontal="centerContinuous" vertical="center"/>
    </xf>
    <xf numFmtId="0" fontId="16" fillId="0" borderId="13" xfId="0" applyNumberFormat="1" applyFont="1" applyBorder="1" applyAlignment="1">
      <alignment horizontal="centerContinuous" vertical="center"/>
    </xf>
    <xf numFmtId="175" fontId="16" fillId="0" borderId="13" xfId="59" applyNumberFormat="1" applyFont="1" applyFill="1" applyBorder="1" applyAlignment="1">
      <alignment horizontal="centerContinuous" vertical="center"/>
    </xf>
    <xf numFmtId="0" fontId="16" fillId="0" borderId="12" xfId="0" applyFont="1" applyBorder="1" applyAlignment="1">
      <alignment horizontal="centerContinuous" vertical="center"/>
    </xf>
    <xf numFmtId="175" fontId="16" fillId="0" borderId="10" xfId="59" applyNumberFormat="1" applyFont="1" applyFill="1" applyBorder="1" applyAlignment="1">
      <alignment horizontal="centerContinuous" vertical="center"/>
    </xf>
    <xf numFmtId="0" fontId="16" fillId="0" borderId="36" xfId="0" applyFont="1" applyFill="1" applyBorder="1" applyAlignment="1">
      <alignment horizontal="centerContinuous" vertical="center"/>
    </xf>
    <xf numFmtId="10" fontId="16" fillId="0" borderId="27" xfId="59" applyNumberFormat="1" applyFont="1" applyBorder="1" applyAlignment="1">
      <alignment horizontal="center" vertical="center"/>
    </xf>
    <xf numFmtId="6" fontId="16" fillId="0" borderId="23" xfId="44" applyNumberFormat="1" applyFont="1" applyFill="1" applyBorder="1" applyAlignment="1">
      <alignment horizontal="centerContinuous" vertical="center"/>
    </xf>
    <xf numFmtId="38" fontId="16" fillId="0" borderId="23" xfId="44" applyNumberFormat="1" applyFont="1" applyFill="1" applyBorder="1" applyAlignment="1">
      <alignment horizontal="centerContinuous" vertical="center"/>
    </xf>
    <xf numFmtId="8" fontId="16" fillId="0" borderId="12" xfId="44" applyNumberFormat="1" applyFont="1" applyFill="1" applyBorder="1" applyAlignment="1">
      <alignment horizontal="centerContinuous" vertical="center"/>
    </xf>
    <xf numFmtId="0" fontId="16" fillId="0" borderId="12" xfId="0" applyNumberFormat="1" applyFont="1" applyBorder="1" applyAlignment="1">
      <alignment horizontal="centerContinuous" vertical="center"/>
    </xf>
    <xf numFmtId="175" fontId="16" fillId="0" borderId="12" xfId="59" applyNumberFormat="1" applyFont="1" applyFill="1" applyBorder="1" applyAlignment="1">
      <alignment horizontal="centerContinuous" vertical="center"/>
    </xf>
    <xf numFmtId="0" fontId="16" fillId="0" borderId="68" xfId="0" applyFont="1" applyFill="1" applyBorder="1" applyAlignment="1">
      <alignment horizontal="centerContinuous" vertical="center"/>
    </xf>
    <xf numFmtId="0" fontId="16" fillId="0" borderId="26" xfId="0" applyFont="1" applyFill="1" applyBorder="1" applyAlignment="1">
      <alignment horizontal="left" vertical="center"/>
    </xf>
    <xf numFmtId="6" fontId="16" fillId="0" borderId="31" xfId="44" applyNumberFormat="1" applyFont="1" applyFill="1" applyBorder="1" applyAlignment="1">
      <alignment horizontal="centerContinuous" vertical="center"/>
    </xf>
    <xf numFmtId="38" fontId="16" fillId="0" borderId="31" xfId="44" applyNumberFormat="1" applyFont="1" applyFill="1" applyBorder="1" applyAlignment="1">
      <alignment horizontal="centerContinuous" vertical="center"/>
    </xf>
    <xf numFmtId="0" fontId="16" fillId="0" borderId="23" xfId="0" applyNumberFormat="1" applyFont="1" applyBorder="1" applyAlignment="1">
      <alignment horizontal="centerContinuous" vertical="center"/>
    </xf>
    <xf numFmtId="175" fontId="9" fillId="0" borderId="12" xfId="59" applyNumberFormat="1" applyFont="1" applyFill="1" applyBorder="1" applyAlignment="1">
      <alignment horizontal="centerContinuous" vertical="center"/>
    </xf>
    <xf numFmtId="0" fontId="9" fillId="0" borderId="25" xfId="0" applyFont="1" applyFill="1" applyBorder="1" applyAlignment="1">
      <alignment horizontal="centerContinuous" vertical="center"/>
    </xf>
    <xf numFmtId="175" fontId="9" fillId="0" borderId="10" xfId="59" applyNumberFormat="1" applyFont="1" applyFill="1" applyBorder="1" applyAlignment="1">
      <alignment horizontal="centerContinuous" vertical="center"/>
    </xf>
    <xf numFmtId="0" fontId="9" fillId="0" borderId="36" xfId="0" applyFont="1" applyFill="1" applyBorder="1" applyAlignment="1">
      <alignment horizontal="centerContinuous" vertical="center"/>
    </xf>
    <xf numFmtId="0" fontId="16" fillId="0" borderId="53" xfId="0" applyFont="1" applyFill="1" applyBorder="1" applyAlignment="1">
      <alignment vertical="center"/>
    </xf>
    <xf numFmtId="0" fontId="16" fillId="0" borderId="70" xfId="0" applyFont="1" applyBorder="1" applyAlignment="1">
      <alignment vertical="center"/>
    </xf>
    <xf numFmtId="180" fontId="16" fillId="0" borderId="70" xfId="0" applyNumberFormat="1" applyFont="1" applyBorder="1" applyAlignment="1">
      <alignment horizontal="center" vertical="center"/>
    </xf>
    <xf numFmtId="0" fontId="16" fillId="0" borderId="69" xfId="0" applyFont="1" applyBorder="1" applyAlignment="1">
      <alignment horizontal="center" vertical="center"/>
    </xf>
    <xf numFmtId="6" fontId="16" fillId="0" borderId="32" xfId="44" applyNumberFormat="1" applyFont="1" applyFill="1" applyBorder="1" applyAlignment="1">
      <alignment horizontal="centerContinuous" vertical="center"/>
    </xf>
    <xf numFmtId="38" fontId="16" fillId="0" borderId="32" xfId="44" applyNumberFormat="1" applyFont="1" applyFill="1" applyBorder="1" applyAlignment="1">
      <alignment horizontal="centerContinuous" vertical="center"/>
    </xf>
    <xf numFmtId="2" fontId="16" fillId="0" borderId="69" xfId="0" applyNumberFormat="1" applyFont="1" applyFill="1" applyBorder="1" applyAlignment="1">
      <alignment horizontal="centerContinuous" vertical="center"/>
    </xf>
    <xf numFmtId="8" fontId="16" fillId="0" borderId="69" xfId="44" applyNumberFormat="1" applyFont="1" applyFill="1" applyBorder="1" applyAlignment="1">
      <alignment horizontal="centerContinuous" vertical="center"/>
    </xf>
    <xf numFmtId="0" fontId="16" fillId="33" borderId="69" xfId="0" applyNumberFormat="1" applyFont="1" applyFill="1" applyBorder="1" applyAlignment="1">
      <alignment horizontal="centerContinuous" vertical="center"/>
    </xf>
    <xf numFmtId="175" fontId="16" fillId="33" borderId="69" xfId="59" applyNumberFormat="1" applyFont="1" applyFill="1" applyBorder="1" applyAlignment="1">
      <alignment horizontal="centerContinuous" vertical="center"/>
    </xf>
    <xf numFmtId="0" fontId="16" fillId="33" borderId="69" xfId="0" applyFont="1" applyFill="1" applyBorder="1" applyAlignment="1">
      <alignment horizontal="centerContinuous" vertical="center"/>
    </xf>
    <xf numFmtId="0" fontId="16" fillId="33" borderId="50" xfId="0" applyFont="1" applyFill="1" applyBorder="1" applyAlignment="1">
      <alignment horizontal="centerContinuous" vertical="center"/>
    </xf>
    <xf numFmtId="0" fontId="16" fillId="33" borderId="51" xfId="0" applyFont="1" applyFill="1" applyBorder="1" applyAlignment="1">
      <alignment horizontal="centerContinuous" vertical="center"/>
    </xf>
    <xf numFmtId="0" fontId="16" fillId="33" borderId="73" xfId="0" applyFont="1" applyFill="1" applyBorder="1" applyAlignment="1">
      <alignment horizontal="centerContinuous" vertical="center"/>
    </xf>
    <xf numFmtId="0" fontId="9" fillId="1" borderId="0" xfId="0" applyFont="1" applyFill="1" applyBorder="1" applyAlignment="1">
      <alignment vertical="center"/>
    </xf>
    <xf numFmtId="0" fontId="23" fillId="0" borderId="64" xfId="0" applyFont="1" applyBorder="1" applyAlignment="1">
      <alignment horizontal="centerContinuous" vertical="center"/>
    </xf>
    <xf numFmtId="0" fontId="23" fillId="0" borderId="65" xfId="0" applyFont="1" applyBorder="1" applyAlignment="1">
      <alignment horizontal="centerContinuous" vertical="center"/>
    </xf>
    <xf numFmtId="0" fontId="23" fillId="0" borderId="60" xfId="0" applyFont="1" applyBorder="1" applyAlignment="1">
      <alignment horizontal="centerContinuous" vertical="center"/>
    </xf>
    <xf numFmtId="0" fontId="23" fillId="0" borderId="61" xfId="0" applyFont="1" applyBorder="1" applyAlignment="1">
      <alignment horizontal="centerContinuous" vertical="center"/>
    </xf>
    <xf numFmtId="0" fontId="9" fillId="0" borderId="62" xfId="0" applyFont="1" applyBorder="1" applyAlignment="1">
      <alignment horizontal="center" vertical="center"/>
    </xf>
    <xf numFmtId="0" fontId="9" fillId="0" borderId="66" xfId="0" applyFont="1" applyBorder="1" applyAlignment="1">
      <alignment horizontal="centerContinuous" vertical="center"/>
    </xf>
    <xf numFmtId="0" fontId="9" fillId="0" borderId="60" xfId="0" applyFont="1" applyBorder="1" applyAlignment="1">
      <alignment horizontal="centerContinuous" vertical="center"/>
    </xf>
    <xf numFmtId="0" fontId="14" fillId="0" borderId="56" xfId="0" applyFont="1" applyBorder="1" applyAlignment="1">
      <alignment horizontal="centerContinuous" vertical="center"/>
    </xf>
    <xf numFmtId="0" fontId="32" fillId="0" borderId="58" xfId="0" applyFont="1" applyBorder="1" applyAlignment="1">
      <alignment horizontal="centerContinuous" vertical="center"/>
    </xf>
    <xf numFmtId="0" fontId="14" fillId="0" borderId="62" xfId="0" applyFont="1" applyBorder="1" applyAlignment="1">
      <alignment horizontal="centerContinuous" vertical="center"/>
    </xf>
    <xf numFmtId="0" fontId="16" fillId="0" borderId="61" xfId="0" applyFont="1" applyBorder="1" applyAlignment="1">
      <alignment horizontal="centerContinuous" vertical="center"/>
    </xf>
    <xf numFmtId="0" fontId="9" fillId="0" borderId="62" xfId="0" applyFont="1" applyBorder="1" applyAlignment="1">
      <alignment horizontal="centerContinuous" vertical="center"/>
    </xf>
    <xf numFmtId="0" fontId="9" fillId="0" borderId="61" xfId="0" applyFont="1" applyBorder="1" applyAlignment="1">
      <alignment horizontal="centerContinuous" vertical="center"/>
    </xf>
    <xf numFmtId="0" fontId="9" fillId="0" borderId="38"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Continuous" vertical="center"/>
    </xf>
    <xf numFmtId="0" fontId="24" fillId="0" borderId="28" xfId="0" applyFont="1" applyBorder="1" applyAlignment="1">
      <alignment horizontal="centerContinuous" vertical="center"/>
    </xf>
    <xf numFmtId="0" fontId="24" fillId="0" borderId="3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40" xfId="0" applyFont="1" applyBorder="1" applyAlignment="1">
      <alignment horizontal="centerContinuous" vertical="center"/>
    </xf>
    <xf numFmtId="14" fontId="24" fillId="0" borderId="29" xfId="0" applyNumberFormat="1" applyFont="1" applyBorder="1" applyAlignment="1">
      <alignment horizontal="centerContinuous" vertical="center"/>
    </xf>
    <xf numFmtId="14" fontId="24" fillId="0" borderId="39" xfId="0" applyNumberFormat="1" applyFont="1" applyBorder="1" applyAlignment="1">
      <alignment horizontal="center" vertical="center"/>
    </xf>
    <xf numFmtId="0" fontId="24" fillId="0" borderId="24" xfId="0" applyFont="1" applyBorder="1" applyAlignment="1">
      <alignment horizontal="centerContinuous" vertical="center"/>
    </xf>
    <xf numFmtId="0" fontId="24" fillId="0" borderId="37" xfId="0" applyFont="1" applyBorder="1" applyAlignment="1">
      <alignment horizontal="center" vertical="center"/>
    </xf>
    <xf numFmtId="0" fontId="24" fillId="0" borderId="10" xfId="0" applyFont="1" applyBorder="1" applyAlignment="1">
      <alignment horizontal="center" vertical="center"/>
    </xf>
    <xf numFmtId="0" fontId="24" fillId="0" borderId="37" xfId="0" applyFont="1" applyBorder="1" applyAlignment="1">
      <alignment horizontal="centerContinuous" vertical="center"/>
    </xf>
    <xf numFmtId="0" fontId="24" fillId="0" borderId="36" xfId="0" applyFont="1" applyBorder="1" applyAlignment="1">
      <alignment horizontal="centerContinuous" vertical="center"/>
    </xf>
    <xf numFmtId="0" fontId="9" fillId="0" borderId="38" xfId="0" applyFont="1" applyBorder="1" applyAlignment="1">
      <alignment horizontal="center" vertical="center"/>
    </xf>
    <xf numFmtId="0" fontId="24" fillId="0" borderId="29" xfId="0" applyFont="1" applyBorder="1" applyAlignment="1">
      <alignment horizontal="center" vertical="center"/>
    </xf>
    <xf numFmtId="0" fontId="24" fillId="0" borderId="39"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40" xfId="0" applyFont="1" applyBorder="1" applyAlignment="1">
      <alignment horizontal="centerContinuous" vertical="center"/>
    </xf>
    <xf numFmtId="10" fontId="16" fillId="0" borderId="0" xfId="59" applyNumberFormat="1" applyFont="1" applyBorder="1" applyAlignment="1">
      <alignment horizontal="center" vertical="center"/>
    </xf>
    <xf numFmtId="14" fontId="16" fillId="0" borderId="0" xfId="0" applyNumberFormat="1" applyFont="1" applyBorder="1" applyAlignment="1">
      <alignment vertical="center"/>
    </xf>
    <xf numFmtId="175" fontId="94" fillId="0" borderId="0" xfId="59" applyNumberFormat="1" applyFont="1" applyAlignment="1">
      <alignment vertical="center"/>
    </xf>
    <xf numFmtId="175" fontId="16" fillId="0" borderId="0" xfId="59" applyNumberFormat="1" applyFont="1" applyAlignment="1">
      <alignment vertical="center"/>
    </xf>
    <xf numFmtId="0" fontId="14" fillId="0" borderId="29"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3" xfId="0" applyFont="1" applyBorder="1" applyAlignment="1" applyProtection="1">
      <alignment horizontal="centerContinuous" vertical="center"/>
      <protection/>
    </xf>
    <xf numFmtId="0" fontId="14" fillId="0" borderId="0" xfId="0" applyFont="1" applyBorder="1" applyAlignment="1" applyProtection="1">
      <alignment horizontal="centerContinuous" vertical="center"/>
      <protection/>
    </xf>
    <xf numFmtId="0" fontId="14" fillId="0" borderId="36" xfId="0" applyFont="1" applyBorder="1" applyAlignment="1" applyProtection="1">
      <alignment horizontal="centerContinuous" vertical="center"/>
      <protection/>
    </xf>
    <xf numFmtId="0" fontId="14" fillId="0" borderId="13" xfId="0" applyFont="1" applyFill="1" applyBorder="1" applyAlignment="1" applyProtection="1">
      <alignment horizontal="centerContinuous" vertical="center"/>
      <protection/>
    </xf>
    <xf numFmtId="0" fontId="14" fillId="0" borderId="14" xfId="0" applyFont="1" applyFill="1" applyBorder="1" applyAlignment="1" applyProtection="1">
      <alignment horizontal="centerContinuous" vertical="center"/>
      <protection/>
    </xf>
    <xf numFmtId="0" fontId="14" fillId="0" borderId="40" xfId="0" applyFont="1" applyBorder="1" applyAlignment="1" applyProtection="1">
      <alignment horizontal="centerContinuous" vertical="center"/>
      <protection/>
    </xf>
    <xf numFmtId="0" fontId="14" fillId="0" borderId="29" xfId="0" applyFont="1" applyBorder="1" applyAlignment="1" applyProtection="1">
      <alignment horizontal="centerContinuous" vertical="center"/>
      <protection/>
    </xf>
    <xf numFmtId="0" fontId="14" fillId="0" borderId="31" xfId="0" applyFont="1" applyBorder="1" applyAlignment="1" applyProtection="1">
      <alignment horizontal="centerContinuous" vertical="center"/>
      <protection/>
    </xf>
    <xf numFmtId="0" fontId="14" fillId="0" borderId="11" xfId="0" applyFont="1" applyBorder="1" applyAlignment="1" applyProtection="1">
      <alignment horizontal="centerContinuous" vertical="center"/>
      <protection/>
    </xf>
    <xf numFmtId="0" fontId="14" fillId="0" borderId="14" xfId="0" applyFont="1" applyBorder="1" applyAlignment="1" applyProtection="1">
      <alignment horizontal="centerContinuous" vertical="center"/>
      <protection/>
    </xf>
    <xf numFmtId="0" fontId="14" fillId="0" borderId="43" xfId="0" applyFont="1" applyBorder="1" applyAlignment="1" applyProtection="1">
      <alignment horizontal="center" vertical="center"/>
      <protection/>
    </xf>
    <xf numFmtId="0" fontId="14" fillId="0" borderId="41" xfId="0" applyFont="1" applyBorder="1" applyAlignment="1" applyProtection="1">
      <alignment horizontal="center" vertical="center"/>
      <protection/>
    </xf>
    <xf numFmtId="0" fontId="14" fillId="0" borderId="45"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14" fillId="0" borderId="0" xfId="0" applyFont="1" applyFill="1" applyBorder="1" applyAlignment="1" applyProtection="1">
      <alignment horizontal="centerContinuous" vertical="center"/>
      <protection/>
    </xf>
    <xf numFmtId="0" fontId="30" fillId="0" borderId="52" xfId="0" applyFont="1" applyBorder="1" applyAlignment="1" applyProtection="1">
      <alignment horizontal="center" vertical="center"/>
      <protection locked="0"/>
    </xf>
    <xf numFmtId="166" fontId="30" fillId="0" borderId="52" xfId="0" applyNumberFormat="1" applyFont="1" applyBorder="1" applyAlignment="1" applyProtection="1">
      <alignment horizontal="center" vertical="center"/>
      <protection locked="0"/>
    </xf>
    <xf numFmtId="166" fontId="24" fillId="0" borderId="68" xfId="0" applyNumberFormat="1" applyFont="1" applyBorder="1" applyAlignment="1" applyProtection="1">
      <alignment horizontal="center" vertical="center"/>
      <protection/>
    </xf>
    <xf numFmtId="170" fontId="24" fillId="0" borderId="23" xfId="44" applyNumberFormat="1" applyFont="1" applyFill="1" applyBorder="1" applyAlignment="1" applyProtection="1">
      <alignment horizontal="centerContinuous" vertical="center"/>
      <protection/>
    </xf>
    <xf numFmtId="170" fontId="24" fillId="0" borderId="15" xfId="44" applyNumberFormat="1" applyFont="1" applyFill="1" applyBorder="1" applyAlignment="1" applyProtection="1">
      <alignment horizontal="centerContinuous" vertical="center"/>
      <protection/>
    </xf>
    <xf numFmtId="170" fontId="15" fillId="0" borderId="12" xfId="44" applyNumberFormat="1" applyFont="1" applyFill="1" applyBorder="1" applyAlignment="1" applyProtection="1">
      <alignment horizontal="centerContinuous" vertical="center"/>
      <protection/>
    </xf>
    <xf numFmtId="170" fontId="15" fillId="0" borderId="10" xfId="44" applyNumberFormat="1" applyFont="1" applyFill="1" applyBorder="1" applyAlignment="1" applyProtection="1">
      <alignment horizontal="centerContinuous" vertical="center"/>
      <protection/>
    </xf>
    <xf numFmtId="1" fontId="15" fillId="0" borderId="12" xfId="0" applyNumberFormat="1" applyFont="1" applyFill="1" applyBorder="1" applyAlignment="1" applyProtection="1">
      <alignment horizontal="centerContinuous" vertical="center"/>
      <protection/>
    </xf>
    <xf numFmtId="1" fontId="15" fillId="0" borderId="10" xfId="0" applyNumberFormat="1" applyFont="1" applyFill="1" applyBorder="1" applyAlignment="1" applyProtection="1">
      <alignment horizontal="centerContinuous" vertical="center"/>
      <protection/>
    </xf>
    <xf numFmtId="1" fontId="15" fillId="0" borderId="36" xfId="0" applyNumberFormat="1" applyFont="1" applyFill="1" applyBorder="1" applyAlignment="1" applyProtection="1">
      <alignment horizontal="centerContinuous" vertical="center"/>
      <protection/>
    </xf>
    <xf numFmtId="170" fontId="15" fillId="0" borderId="15" xfId="44" applyNumberFormat="1" applyFont="1" applyFill="1" applyBorder="1" applyAlignment="1" applyProtection="1">
      <alignment horizontal="centerContinuous" vertical="center"/>
      <protection/>
    </xf>
    <xf numFmtId="170" fontId="15" fillId="0" borderId="11" xfId="44" applyNumberFormat="1" applyFont="1" applyFill="1" applyBorder="1" applyAlignment="1" applyProtection="1">
      <alignment horizontal="centerContinuous" vertical="center"/>
      <protection/>
    </xf>
    <xf numFmtId="170" fontId="15" fillId="0" borderId="23" xfId="44" applyNumberFormat="1" applyFont="1" applyFill="1" applyBorder="1" applyAlignment="1" applyProtection="1">
      <alignment horizontal="centerContinuous" vertical="center"/>
      <protection/>
    </xf>
    <xf numFmtId="1" fontId="15" fillId="0" borderId="15" xfId="0" applyNumberFormat="1" applyFont="1" applyFill="1" applyBorder="1" applyAlignment="1" applyProtection="1">
      <alignment horizontal="centerContinuous" vertical="center"/>
      <protection/>
    </xf>
    <xf numFmtId="1" fontId="15" fillId="0" borderId="59" xfId="0" applyNumberFormat="1" applyFont="1" applyFill="1" applyBorder="1" applyAlignment="1" applyProtection="1">
      <alignment horizontal="centerContinuous" vertical="center"/>
      <protection/>
    </xf>
    <xf numFmtId="0" fontId="24" fillId="0" borderId="55" xfId="0" applyFont="1" applyBorder="1" applyAlignment="1" applyProtection="1">
      <alignment horizontal="center" vertical="center"/>
      <protection/>
    </xf>
    <xf numFmtId="170" fontId="15" fillId="0" borderId="31" xfId="44" applyNumberFormat="1" applyFont="1" applyFill="1" applyBorder="1" applyAlignment="1" applyProtection="1">
      <alignment horizontal="centerContinuous" vertical="center"/>
      <protection/>
    </xf>
    <xf numFmtId="1" fontId="15" fillId="0" borderId="23" xfId="0" applyNumberFormat="1" applyFont="1" applyFill="1" applyBorder="1" applyAlignment="1" applyProtection="1">
      <alignment horizontal="centerContinuous" vertical="center"/>
      <protection/>
    </xf>
    <xf numFmtId="0" fontId="15" fillId="0" borderId="75" xfId="0" applyFont="1" applyBorder="1" applyAlignment="1" applyProtection="1">
      <alignment horizontal="center" vertical="center"/>
      <protection/>
    </xf>
    <xf numFmtId="9" fontId="24" fillId="33" borderId="45" xfId="59" applyFont="1" applyFill="1" applyBorder="1" applyAlignment="1" applyProtection="1">
      <alignment horizontal="center" vertical="center"/>
      <protection/>
    </xf>
    <xf numFmtId="166" fontId="24" fillId="0" borderId="23" xfId="0" applyNumberFormat="1" applyFont="1" applyBorder="1" applyAlignment="1" applyProtection="1">
      <alignment horizontal="center" vertical="center"/>
      <protection/>
    </xf>
    <xf numFmtId="0" fontId="24" fillId="33" borderId="23" xfId="0" applyFont="1" applyFill="1" applyBorder="1" applyAlignment="1" applyProtection="1">
      <alignment horizontal="centerContinuous" vertical="center"/>
      <protection/>
    </xf>
    <xf numFmtId="0" fontId="24" fillId="33" borderId="15" xfId="0" applyFont="1" applyFill="1" applyBorder="1" applyAlignment="1" applyProtection="1">
      <alignment horizontal="centerContinuous" vertical="center"/>
      <protection/>
    </xf>
    <xf numFmtId="6" fontId="15" fillId="33" borderId="23" xfId="44" applyNumberFormat="1" applyFont="1" applyFill="1" applyBorder="1" applyAlignment="1" applyProtection="1">
      <alignment horizontal="centerContinuous" vertical="center"/>
      <protection/>
    </xf>
    <xf numFmtId="6" fontId="15" fillId="33" borderId="15" xfId="44" applyNumberFormat="1" applyFont="1" applyFill="1" applyBorder="1" applyAlignment="1" applyProtection="1">
      <alignment horizontal="centerContinuous" vertical="center"/>
      <protection/>
    </xf>
    <xf numFmtId="166" fontId="15" fillId="33" borderId="13" xfId="0" applyNumberFormat="1" applyFont="1" applyFill="1" applyBorder="1" applyAlignment="1" applyProtection="1">
      <alignment horizontal="centerContinuous" vertical="center"/>
      <protection/>
    </xf>
    <xf numFmtId="166" fontId="15" fillId="33" borderId="0" xfId="0" applyNumberFormat="1" applyFont="1" applyFill="1" applyBorder="1" applyAlignment="1" applyProtection="1">
      <alignment horizontal="centerContinuous" vertical="center"/>
      <protection/>
    </xf>
    <xf numFmtId="166" fontId="15" fillId="33" borderId="40" xfId="0" applyNumberFormat="1" applyFont="1" applyFill="1" applyBorder="1" applyAlignment="1" applyProtection="1">
      <alignment horizontal="centerContinuous" vertical="center"/>
      <protection/>
    </xf>
    <xf numFmtId="0" fontId="15" fillId="0" borderId="76" xfId="0" applyFont="1" applyBorder="1" applyAlignment="1" applyProtection="1">
      <alignment horizontal="center" vertical="center"/>
      <protection/>
    </xf>
    <xf numFmtId="1" fontId="15" fillId="0" borderId="69" xfId="0" applyNumberFormat="1" applyFont="1" applyBorder="1" applyAlignment="1" applyProtection="1">
      <alignment horizontal="center" vertical="center"/>
      <protection/>
    </xf>
    <xf numFmtId="166" fontId="15" fillId="0" borderId="69" xfId="0" applyNumberFormat="1" applyFont="1" applyBorder="1" applyAlignment="1" applyProtection="1">
      <alignment horizontal="center" vertical="center"/>
      <protection/>
    </xf>
    <xf numFmtId="170" fontId="15" fillId="0" borderId="69" xfId="44" applyNumberFormat="1" applyFont="1" applyFill="1" applyBorder="1" applyAlignment="1" applyProtection="1">
      <alignment horizontal="centerContinuous" vertical="center"/>
      <protection/>
    </xf>
    <xf numFmtId="170" fontId="15" fillId="0" borderId="70" xfId="44" applyNumberFormat="1" applyFont="1" applyFill="1" applyBorder="1" applyAlignment="1" applyProtection="1">
      <alignment horizontal="centerContinuous" vertical="center"/>
      <protection/>
    </xf>
    <xf numFmtId="6" fontId="15" fillId="0" borderId="32" xfId="44" applyNumberFormat="1" applyFont="1" applyFill="1" applyBorder="1" applyAlignment="1" applyProtection="1">
      <alignment horizontal="centerContinuous" vertical="center"/>
      <protection/>
    </xf>
    <xf numFmtId="6" fontId="15" fillId="0" borderId="70" xfId="44" applyNumberFormat="1" applyFont="1" applyFill="1" applyBorder="1" applyAlignment="1" applyProtection="1">
      <alignment horizontal="centerContinuous" vertical="center"/>
      <protection/>
    </xf>
    <xf numFmtId="178" fontId="15" fillId="0" borderId="69" xfId="0" applyNumberFormat="1" applyFont="1" applyFill="1" applyBorder="1" applyAlignment="1" applyProtection="1">
      <alignment horizontal="centerContinuous" vertical="center"/>
      <protection/>
    </xf>
    <xf numFmtId="171" fontId="15" fillId="0" borderId="51" xfId="0" applyNumberFormat="1" applyFont="1" applyFill="1" applyBorder="1" applyAlignment="1" applyProtection="1">
      <alignment horizontal="centerContinuous" vertical="center"/>
      <protection/>
    </xf>
    <xf numFmtId="171" fontId="15" fillId="0" borderId="73" xfId="0" applyNumberFormat="1" applyFont="1" applyFill="1" applyBorder="1" applyAlignment="1" applyProtection="1">
      <alignment horizontal="centerContinuous" vertical="center"/>
      <protection/>
    </xf>
    <xf numFmtId="166" fontId="15" fillId="0" borderId="69" xfId="0" applyNumberFormat="1" applyFont="1" applyFill="1" applyBorder="1" applyAlignment="1" applyProtection="1">
      <alignment horizontal="centerContinuous" vertical="center"/>
      <protection/>
    </xf>
    <xf numFmtId="166" fontId="15" fillId="0" borderId="51" xfId="0" applyNumberFormat="1" applyFont="1" applyFill="1" applyBorder="1" applyAlignment="1" applyProtection="1">
      <alignment horizontal="centerContinuous" vertical="center"/>
      <protection/>
    </xf>
    <xf numFmtId="166" fontId="15" fillId="0" borderId="70" xfId="0" applyNumberFormat="1" applyFont="1" applyFill="1" applyBorder="1" applyAlignment="1" applyProtection="1">
      <alignment horizontal="centerContinuous" vertical="center"/>
      <protection/>
    </xf>
    <xf numFmtId="6" fontId="9" fillId="0" borderId="53" xfId="44" applyNumberFormat="1" applyFont="1" applyFill="1" applyBorder="1" applyAlignment="1" applyProtection="1">
      <alignment horizontal="centerContinuous" vertical="center"/>
      <protection/>
    </xf>
    <xf numFmtId="2" fontId="16" fillId="0" borderId="51" xfId="0" applyNumberFormat="1" applyFont="1" applyBorder="1" applyAlignment="1" applyProtection="1">
      <alignment horizontal="centerContinuous" vertical="center"/>
      <protection/>
    </xf>
    <xf numFmtId="2" fontId="16" fillId="0" borderId="33" xfId="0" applyNumberFormat="1" applyFont="1" applyBorder="1" applyAlignment="1" applyProtection="1">
      <alignment horizontal="centerContinuous" vertical="center"/>
      <protection/>
    </xf>
    <xf numFmtId="2" fontId="16" fillId="0" borderId="48" xfId="0" applyNumberFormat="1" applyFont="1" applyBorder="1" applyAlignment="1" applyProtection="1">
      <alignment horizontal="centerContinuous" vertical="center"/>
      <protection/>
    </xf>
    <xf numFmtId="0" fontId="16" fillId="0" borderId="77" xfId="0" applyFont="1" applyBorder="1" applyAlignment="1">
      <alignment vertical="center"/>
    </xf>
    <xf numFmtId="175" fontId="16" fillId="0" borderId="77" xfId="59" applyNumberFormat="1" applyFont="1" applyBorder="1" applyAlignment="1">
      <alignment vertical="center"/>
    </xf>
    <xf numFmtId="0" fontId="16" fillId="0" borderId="78" xfId="0" applyFont="1" applyBorder="1" applyAlignment="1">
      <alignment vertical="center"/>
    </xf>
    <xf numFmtId="175" fontId="16" fillId="0" borderId="78" xfId="59" applyNumberFormat="1" applyFont="1" applyBorder="1" applyAlignment="1">
      <alignment vertical="center"/>
    </xf>
    <xf numFmtId="0" fontId="9" fillId="0" borderId="0" xfId="0" applyFont="1" applyAlignment="1">
      <alignment vertical="center"/>
    </xf>
    <xf numFmtId="0" fontId="16" fillId="1" borderId="24"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0" fontId="23" fillId="0" borderId="11" xfId="0" applyFont="1" applyFill="1" applyBorder="1" applyAlignment="1" applyProtection="1">
      <alignment horizontal="centerContinuous"/>
      <protection/>
    </xf>
    <xf numFmtId="0" fontId="12" fillId="1" borderId="13" xfId="0" applyFont="1" applyFill="1" applyBorder="1" applyAlignment="1" applyProtection="1">
      <alignment/>
      <protection/>
    </xf>
    <xf numFmtId="0" fontId="12" fillId="1" borderId="14" xfId="0" applyFont="1" applyFill="1" applyBorder="1" applyAlignment="1" applyProtection="1">
      <alignment/>
      <protection/>
    </xf>
    <xf numFmtId="0" fontId="16" fillId="1" borderId="11" xfId="0" applyFont="1" applyFill="1" applyBorder="1" applyAlignment="1" applyProtection="1">
      <alignment/>
      <protection/>
    </xf>
    <xf numFmtId="0" fontId="16" fillId="1" borderId="31" xfId="0" applyFont="1" applyFill="1" applyBorder="1" applyAlignment="1" applyProtection="1">
      <alignment/>
      <protection/>
    </xf>
    <xf numFmtId="0" fontId="16" fillId="1" borderId="25" xfId="0" applyFont="1" applyFill="1" applyBorder="1" applyAlignment="1" applyProtection="1">
      <alignment/>
      <protection/>
    </xf>
    <xf numFmtId="166" fontId="12" fillId="0" borderId="0" xfId="0" applyNumberFormat="1" applyFont="1" applyAlignment="1" applyProtection="1">
      <alignment horizontal="center"/>
      <protection/>
    </xf>
    <xf numFmtId="0" fontId="12" fillId="0" borderId="0" xfId="0" applyFont="1" applyAlignment="1" applyProtection="1">
      <alignment horizontal="center"/>
      <protection/>
    </xf>
    <xf numFmtId="0" fontId="16" fillId="0" borderId="23" xfId="0" applyFont="1" applyBorder="1" applyAlignment="1" applyProtection="1">
      <alignment horizontal="left" vertical="center"/>
      <protection/>
    </xf>
    <xf numFmtId="9" fontId="16" fillId="0" borderId="27" xfId="59" applyFont="1" applyFill="1" applyBorder="1" applyAlignment="1" applyProtection="1">
      <alignment horizontal="center" vertical="center"/>
      <protection/>
    </xf>
    <xf numFmtId="0" fontId="16" fillId="0" borderId="23" xfId="0" applyFont="1" applyFill="1" applyBorder="1" applyAlignment="1" applyProtection="1">
      <alignment vertical="center"/>
      <protection/>
    </xf>
    <xf numFmtId="176" fontId="16" fillId="0" borderId="27" xfId="44" applyNumberFormat="1" applyFont="1" applyBorder="1" applyAlignment="1" applyProtection="1">
      <alignment horizontal="center" vertical="center"/>
      <protection/>
    </xf>
    <xf numFmtId="0" fontId="23" fillId="0" borderId="23" xfId="0" applyFont="1" applyFill="1" applyBorder="1" applyAlignment="1" applyProtection="1">
      <alignment horizontal="centerContinuous" vertical="center"/>
      <protection/>
    </xf>
    <xf numFmtId="0" fontId="23" fillId="0" borderId="15" xfId="0" applyFont="1" applyFill="1" applyBorder="1" applyAlignment="1" applyProtection="1">
      <alignment horizontal="centerContinuous" vertical="center"/>
      <protection/>
    </xf>
    <xf numFmtId="0" fontId="27" fillId="0" borderId="15" xfId="0" applyFont="1" applyFill="1" applyBorder="1" applyAlignment="1" applyProtection="1">
      <alignment horizontal="centerContinuous" vertical="center"/>
      <protection/>
    </xf>
    <xf numFmtId="0" fontId="27" fillId="0" borderId="68" xfId="0" applyFont="1" applyFill="1" applyBorder="1" applyAlignment="1" applyProtection="1">
      <alignment horizontal="centerContinuous" vertical="center"/>
      <protection/>
    </xf>
    <xf numFmtId="0" fontId="24" fillId="0" borderId="15" xfId="0" applyFont="1" applyFill="1" applyBorder="1" applyAlignment="1" applyProtection="1">
      <alignment vertical="center"/>
      <protection/>
    </xf>
    <xf numFmtId="0" fontId="24" fillId="0" borderId="68" xfId="0" applyFont="1" applyFill="1" applyBorder="1" applyAlignment="1" applyProtection="1">
      <alignment vertical="center"/>
      <protection/>
    </xf>
    <xf numFmtId="6" fontId="29" fillId="0" borderId="79" xfId="44" applyNumberFormat="1" applyFont="1" applyBorder="1" applyAlignment="1" applyProtection="1">
      <alignment horizontal="center" vertical="center"/>
      <protection locked="0"/>
    </xf>
    <xf numFmtId="0" fontId="16" fillId="0" borderId="13" xfId="0" applyFont="1" applyFill="1" applyBorder="1" applyAlignment="1" applyProtection="1">
      <alignment vertical="center"/>
      <protection/>
    </xf>
    <xf numFmtId="0" fontId="24" fillId="0" borderId="0" xfId="0" applyFont="1" applyFill="1" applyBorder="1" applyAlignment="1" applyProtection="1">
      <alignment vertical="center"/>
      <protection/>
    </xf>
    <xf numFmtId="6" fontId="16" fillId="0" borderId="41" xfId="44" applyNumberFormat="1" applyFont="1" applyBorder="1" applyAlignment="1" applyProtection="1">
      <alignment horizontal="center" vertical="center"/>
      <protection/>
    </xf>
    <xf numFmtId="0" fontId="16" fillId="0" borderId="12" xfId="0" applyFont="1" applyFill="1" applyBorder="1" applyAlignment="1" applyProtection="1">
      <alignment vertical="center"/>
      <protection/>
    </xf>
    <xf numFmtId="0" fontId="24" fillId="0" borderId="10" xfId="0" applyFont="1" applyFill="1" applyBorder="1" applyAlignment="1" applyProtection="1">
      <alignment vertical="center"/>
      <protection/>
    </xf>
    <xf numFmtId="170" fontId="16" fillId="0" borderId="27" xfId="44" applyNumberFormat="1" applyFont="1" applyFill="1" applyBorder="1" applyAlignment="1" applyProtection="1">
      <alignment horizontal="center" vertical="center"/>
      <protection/>
    </xf>
    <xf numFmtId="6" fontId="16" fillId="0" borderId="37" xfId="44" applyNumberFormat="1" applyFont="1" applyBorder="1" applyAlignment="1" applyProtection="1">
      <alignment horizontal="center" vertical="center"/>
      <protection/>
    </xf>
    <xf numFmtId="6" fontId="16" fillId="0" borderId="27" xfId="44" applyNumberFormat="1" applyFont="1" applyBorder="1" applyAlignment="1" applyProtection="1">
      <alignment horizontal="center" vertical="center"/>
      <protection/>
    </xf>
    <xf numFmtId="0" fontId="16" fillId="0" borderId="31" xfId="0" applyFont="1" applyFill="1" applyBorder="1" applyAlignment="1" applyProtection="1">
      <alignment vertical="center"/>
      <protection/>
    </xf>
    <xf numFmtId="0" fontId="24" fillId="0" borderId="11" xfId="0" applyFont="1" applyFill="1" applyBorder="1" applyAlignment="1" applyProtection="1">
      <alignment vertical="center"/>
      <protection/>
    </xf>
    <xf numFmtId="6" fontId="16" fillId="0" borderId="45" xfId="44" applyNumberFormat="1" applyFont="1" applyBorder="1" applyAlignment="1" applyProtection="1">
      <alignment horizontal="center" vertical="center"/>
      <protection/>
    </xf>
    <xf numFmtId="1" fontId="23" fillId="0" borderId="27" xfId="0"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Continuous" vertical="center"/>
      <protection/>
    </xf>
    <xf numFmtId="0" fontId="23" fillId="0" borderId="10" xfId="0" applyFont="1" applyFill="1" applyBorder="1" applyAlignment="1" applyProtection="1">
      <alignment horizontal="centerContinuous" vertical="center"/>
      <protection/>
    </xf>
    <xf numFmtId="0" fontId="9" fillId="0" borderId="10" xfId="0" applyFont="1" applyFill="1" applyBorder="1" applyAlignment="1" applyProtection="1">
      <alignment horizontal="centerContinuous" vertical="center"/>
      <protection/>
    </xf>
    <xf numFmtId="0" fontId="16" fillId="0" borderId="15" xfId="0" applyFont="1" applyFill="1" applyBorder="1" applyAlignment="1" applyProtection="1">
      <alignment horizontal="centerContinuous" vertical="center"/>
      <protection/>
    </xf>
    <xf numFmtId="0" fontId="16" fillId="0" borderId="68" xfId="0" applyFont="1" applyFill="1" applyBorder="1" applyAlignment="1" applyProtection="1">
      <alignment horizontal="centerContinuous" vertical="center"/>
      <protection/>
    </xf>
    <xf numFmtId="170" fontId="16" fillId="0" borderId="45" xfId="0" applyNumberFormat="1" applyFont="1" applyFill="1" applyBorder="1" applyAlignment="1" applyProtection="1">
      <alignment horizontal="center" vertical="center"/>
      <protection/>
    </xf>
    <xf numFmtId="170" fontId="16" fillId="1" borderId="0" xfId="0" applyNumberFormat="1" applyFont="1" applyFill="1" applyBorder="1" applyAlignment="1" applyProtection="1">
      <alignment horizontal="center" vertical="center"/>
      <protection/>
    </xf>
    <xf numFmtId="170" fontId="16" fillId="1" borderId="0" xfId="0" applyNumberFormat="1" applyFont="1" applyFill="1" applyBorder="1" applyAlignment="1" applyProtection="1">
      <alignment vertical="center"/>
      <protection/>
    </xf>
    <xf numFmtId="170" fontId="16" fillId="0" borderId="27" xfId="0" applyNumberFormat="1" applyFont="1" applyFill="1" applyBorder="1" applyAlignment="1" applyProtection="1">
      <alignment horizontal="center" vertical="center"/>
      <protection/>
    </xf>
    <xf numFmtId="0" fontId="16" fillId="1" borderId="11" xfId="0" applyFont="1" applyFill="1" applyBorder="1" applyAlignment="1" applyProtection="1">
      <alignment vertical="center"/>
      <protection/>
    </xf>
    <xf numFmtId="0" fontId="30" fillId="0" borderId="80" xfId="0" applyFont="1" applyBorder="1" applyAlignment="1" applyProtection="1">
      <alignment horizontal="center" vertical="center"/>
      <protection locked="0"/>
    </xf>
    <xf numFmtId="0" fontId="30" fillId="0" borderId="81"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0" fontId="30" fillId="0" borderId="82" xfId="0" applyFont="1" applyBorder="1" applyAlignment="1" applyProtection="1">
      <alignment horizontal="center" vertical="center"/>
      <protection locked="0"/>
    </xf>
    <xf numFmtId="0" fontId="30" fillId="0" borderId="83" xfId="0" applyFont="1" applyBorder="1" applyAlignment="1" applyProtection="1">
      <alignment horizontal="center" vertical="center"/>
      <protection locked="0"/>
    </xf>
    <xf numFmtId="0" fontId="12" fillId="0" borderId="84" xfId="0" applyFont="1" applyFill="1" applyBorder="1" applyAlignment="1" applyProtection="1">
      <alignment horizontal="right" vertical="center"/>
      <protection/>
    </xf>
    <xf numFmtId="0" fontId="16" fillId="0" borderId="0" xfId="0" applyFont="1" applyAlignment="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horizontal="centerContinuous" vertical="center"/>
      <protection locked="0"/>
    </xf>
    <xf numFmtId="0" fontId="26" fillId="0" borderId="0" xfId="0" applyFont="1" applyAlignment="1" applyProtection="1">
      <alignment vertical="center"/>
      <protection locked="0"/>
    </xf>
    <xf numFmtId="0" fontId="26" fillId="0" borderId="0" xfId="0" applyFont="1" applyBorder="1" applyAlignment="1" applyProtection="1">
      <alignment vertical="center"/>
      <protection locked="0"/>
    </xf>
    <xf numFmtId="6" fontId="16" fillId="0" borderId="0" xfId="0" applyNumberFormat="1" applyFont="1" applyAlignment="1" applyProtection="1">
      <alignment vertical="center"/>
      <protection locked="0"/>
    </xf>
    <xf numFmtId="0" fontId="16" fillId="0" borderId="0" xfId="0" applyFont="1" applyBorder="1" applyAlignment="1" applyProtection="1">
      <alignment horizontal="center" vertical="center"/>
      <protection locked="0"/>
    </xf>
    <xf numFmtId="8" fontId="16" fillId="0" borderId="0" xfId="0" applyNumberFormat="1" applyFont="1" applyAlignment="1" applyProtection="1">
      <alignment vertical="center"/>
      <protection locked="0"/>
    </xf>
    <xf numFmtId="166" fontId="16" fillId="0" borderId="0" xfId="0" applyNumberFormat="1" applyFont="1" applyAlignment="1" applyProtection="1">
      <alignment vertical="center"/>
      <protection locked="0"/>
    </xf>
    <xf numFmtId="176" fontId="16" fillId="0" borderId="0" xfId="0" applyNumberFormat="1" applyFont="1" applyAlignment="1" applyProtection="1">
      <alignment horizontal="center" vertical="center"/>
      <protection locked="0"/>
    </xf>
    <xf numFmtId="0" fontId="16" fillId="0" borderId="0" xfId="0" applyFont="1" applyBorder="1" applyAlignment="1" applyProtection="1">
      <alignment horizontal="centerContinuous" vertical="center"/>
      <protection locked="0"/>
    </xf>
    <xf numFmtId="0" fontId="12" fillId="0" borderId="62" xfId="0" applyFont="1" applyBorder="1" applyAlignment="1" applyProtection="1">
      <alignment horizontal="centerContinuous" vertical="center"/>
      <protection/>
    </xf>
    <xf numFmtId="0" fontId="27" fillId="0" borderId="60" xfId="0" applyFont="1" applyBorder="1" applyAlignment="1" applyProtection="1">
      <alignment horizontal="centerContinuous" vertical="center"/>
      <protection/>
    </xf>
    <xf numFmtId="0" fontId="33" fillId="0" borderId="60" xfId="0" applyFont="1" applyBorder="1" applyAlignment="1" applyProtection="1">
      <alignment horizontal="centerContinuous" vertical="center"/>
      <protection/>
    </xf>
    <xf numFmtId="0" fontId="33" fillId="0" borderId="61" xfId="0" applyFont="1" applyBorder="1" applyAlignment="1" applyProtection="1">
      <alignment horizontal="centerContinuous" vertical="center"/>
      <protection/>
    </xf>
    <xf numFmtId="0" fontId="23" fillId="0" borderId="38" xfId="0" applyFont="1" applyBorder="1" applyAlignment="1" applyProtection="1">
      <alignment horizontal="centerContinuous" vertical="center"/>
      <protection/>
    </xf>
    <xf numFmtId="0" fontId="27" fillId="0" borderId="0" xfId="0" applyFont="1" applyBorder="1" applyAlignment="1" applyProtection="1">
      <alignment horizontal="centerContinuous" vertical="center"/>
      <protection/>
    </xf>
    <xf numFmtId="0" fontId="33" fillId="0" borderId="0" xfId="0" applyFont="1" applyBorder="1" applyAlignment="1" applyProtection="1">
      <alignment horizontal="centerContinuous" vertical="center"/>
      <protection/>
    </xf>
    <xf numFmtId="0" fontId="33" fillId="0" borderId="40" xfId="0" applyFont="1" applyBorder="1" applyAlignment="1" applyProtection="1">
      <alignment horizontal="centerContinuous" vertical="center"/>
      <protection/>
    </xf>
    <xf numFmtId="0" fontId="9" fillId="0" borderId="38" xfId="0" applyFont="1" applyFill="1" applyBorder="1" applyAlignment="1" applyProtection="1">
      <alignment vertical="center"/>
      <protection/>
    </xf>
    <xf numFmtId="4" fontId="32" fillId="0" borderId="11" xfId="0" applyNumberFormat="1" applyFont="1" applyFill="1" applyBorder="1" applyAlignment="1" applyProtection="1">
      <alignment horizontal="centerContinuous" vertical="center"/>
      <protection/>
    </xf>
    <xf numFmtId="4" fontId="16" fillId="0" borderId="11" xfId="0" applyNumberFormat="1" applyFont="1" applyFill="1" applyBorder="1" applyAlignment="1" applyProtection="1">
      <alignment horizontal="centerContinuous" vertical="center"/>
      <protection/>
    </xf>
    <xf numFmtId="0" fontId="9" fillId="0" borderId="11" xfId="0" applyFont="1" applyFill="1" applyBorder="1" applyAlignment="1" applyProtection="1">
      <alignment horizontal="centerContinuous" vertical="center"/>
      <protection/>
    </xf>
    <xf numFmtId="2" fontId="11" fillId="0" borderId="11" xfId="0" applyNumberFormat="1" applyFont="1" applyFill="1" applyBorder="1" applyAlignment="1" applyProtection="1">
      <alignment horizontal="centerContinuous" vertical="center"/>
      <protection/>
    </xf>
    <xf numFmtId="0" fontId="11" fillId="0" borderId="0" xfId="0" applyFont="1" applyFill="1" applyBorder="1" applyAlignment="1" applyProtection="1">
      <alignment horizontal="centerContinuous" vertical="center"/>
      <protection/>
    </xf>
    <xf numFmtId="0" fontId="11" fillId="0" borderId="0" xfId="0" applyFont="1" applyFill="1" applyBorder="1" applyAlignment="1" applyProtection="1">
      <alignment vertical="center"/>
      <protection/>
    </xf>
    <xf numFmtId="0" fontId="16" fillId="0" borderId="40" xfId="0" applyFont="1" applyFill="1" applyBorder="1" applyAlignment="1" applyProtection="1">
      <alignment vertical="center"/>
      <protection/>
    </xf>
    <xf numFmtId="0" fontId="16" fillId="0" borderId="38" xfId="0" applyFont="1" applyFill="1" applyBorder="1" applyAlignment="1" applyProtection="1">
      <alignment horizontal="left" vertical="center"/>
      <protection/>
    </xf>
    <xf numFmtId="0" fontId="32" fillId="0" borderId="0" xfId="0" applyFont="1" applyFill="1" applyBorder="1" applyAlignment="1" applyProtection="1">
      <alignment horizontal="centerContinuous" vertical="center"/>
      <protection/>
    </xf>
    <xf numFmtId="0" fontId="9" fillId="0" borderId="0" xfId="0" applyFont="1" applyFill="1" applyBorder="1" applyAlignment="1" applyProtection="1">
      <alignment horizontal="centerContinuous" vertical="center"/>
      <protection/>
    </xf>
    <xf numFmtId="0" fontId="16" fillId="0" borderId="46" xfId="0" applyFont="1" applyFill="1" applyBorder="1" applyAlignment="1" applyProtection="1">
      <alignment horizontal="left" vertical="center"/>
      <protection/>
    </xf>
    <xf numFmtId="0" fontId="16" fillId="0" borderId="33" xfId="0" applyFont="1" applyFill="1" applyBorder="1" applyAlignment="1" applyProtection="1">
      <alignment horizontal="centerContinuous" vertical="center"/>
      <protection/>
    </xf>
    <xf numFmtId="0" fontId="32" fillId="0" borderId="33" xfId="0" applyFont="1" applyFill="1" applyBorder="1" applyAlignment="1" applyProtection="1">
      <alignment horizontal="left" vertical="center"/>
      <protection/>
    </xf>
    <xf numFmtId="0" fontId="16" fillId="0" borderId="33" xfId="0" applyFont="1" applyFill="1" applyBorder="1" applyAlignment="1" applyProtection="1">
      <alignment horizontal="left" vertical="center"/>
      <protection/>
    </xf>
    <xf numFmtId="0" fontId="9" fillId="0" borderId="33" xfId="0" applyFont="1" applyFill="1" applyBorder="1" applyAlignment="1" applyProtection="1">
      <alignment horizontal="centerContinuous" vertical="center"/>
      <protection/>
    </xf>
    <xf numFmtId="0" fontId="9" fillId="0" borderId="33" xfId="0" applyFont="1" applyFill="1" applyBorder="1" applyAlignment="1" applyProtection="1">
      <alignment vertical="center"/>
      <protection/>
    </xf>
    <xf numFmtId="0" fontId="16" fillId="0" borderId="48" xfId="0" applyFont="1" applyFill="1" applyBorder="1" applyAlignment="1" applyProtection="1">
      <alignment vertical="center"/>
      <protection/>
    </xf>
    <xf numFmtId="0" fontId="16" fillId="1" borderId="31" xfId="0" applyFont="1" applyFill="1" applyBorder="1" applyAlignment="1" applyProtection="1">
      <alignment vertical="center"/>
      <protection/>
    </xf>
    <xf numFmtId="0" fontId="16" fillId="1" borderId="25" xfId="0" applyFont="1" applyFill="1" applyBorder="1" applyAlignment="1" applyProtection="1">
      <alignment vertical="center"/>
      <protection/>
    </xf>
    <xf numFmtId="14" fontId="16" fillId="0" borderId="0" xfId="0" applyNumberFormat="1" applyFont="1" applyAlignment="1" applyProtection="1">
      <alignment vertical="center"/>
      <protection locked="0"/>
    </xf>
    <xf numFmtId="0" fontId="32" fillId="0" borderId="23" xfId="0" applyFont="1" applyFill="1" applyBorder="1" applyAlignment="1" applyProtection="1">
      <alignment horizontal="center" vertical="center"/>
      <protection/>
    </xf>
    <xf numFmtId="0" fontId="16" fillId="0" borderId="0" xfId="0" applyFont="1" applyAlignment="1" applyProtection="1">
      <alignment/>
      <protection locked="0"/>
    </xf>
    <xf numFmtId="0" fontId="16" fillId="0" borderId="0" xfId="0" applyFont="1" applyAlignment="1" applyProtection="1">
      <alignment horizontal="centerContinuous"/>
      <protection locked="0"/>
    </xf>
    <xf numFmtId="8" fontId="16" fillId="0" borderId="0" xfId="0" applyNumberFormat="1" applyFont="1" applyAlignment="1" applyProtection="1">
      <alignment/>
      <protection locked="0"/>
    </xf>
    <xf numFmtId="0" fontId="12" fillId="0" borderId="0" xfId="0" applyFont="1"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Border="1" applyAlignment="1" applyProtection="1">
      <alignment horizontal="center"/>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0" xfId="0" applyBorder="1" applyAlignment="1" applyProtection="1">
      <alignment horizontal="center"/>
      <protection/>
    </xf>
    <xf numFmtId="0" fontId="0" fillId="0" borderId="87" xfId="0" applyBorder="1" applyAlignment="1" applyProtection="1">
      <alignment horizontal="center"/>
      <protection/>
    </xf>
    <xf numFmtId="0" fontId="0" fillId="0" borderId="27" xfId="0" applyBorder="1" applyAlignment="1" applyProtection="1">
      <alignment horizontal="center"/>
      <protection/>
    </xf>
    <xf numFmtId="0" fontId="0" fillId="0" borderId="64" xfId="0" applyBorder="1" applyAlignment="1" applyProtection="1">
      <alignment horizontal="center"/>
      <protection/>
    </xf>
    <xf numFmtId="175" fontId="7" fillId="0" borderId="86" xfId="0" applyNumberFormat="1" applyFont="1" applyBorder="1" applyAlignment="1" applyProtection="1">
      <alignment horizontal="center"/>
      <protection/>
    </xf>
    <xf numFmtId="0" fontId="0" fillId="0" borderId="0" xfId="0" applyFont="1" applyAlignment="1" applyProtection="1">
      <alignment/>
      <protection/>
    </xf>
    <xf numFmtId="175" fontId="0" fillId="0" borderId="0" xfId="0" applyNumberFormat="1" applyBorder="1" applyAlignment="1" applyProtection="1">
      <alignment horizontal="center"/>
      <protection/>
    </xf>
    <xf numFmtId="175" fontId="7" fillId="0" borderId="88" xfId="0" applyNumberFormat="1" applyFont="1" applyBorder="1" applyAlignment="1" applyProtection="1">
      <alignment horizontal="center"/>
      <protection/>
    </xf>
    <xf numFmtId="0" fontId="1" fillId="0" borderId="0" xfId="0" applyFont="1" applyAlignment="1" applyProtection="1">
      <alignment/>
      <protection/>
    </xf>
    <xf numFmtId="175" fontId="7" fillId="0" borderId="89" xfId="0" applyNumberFormat="1" applyFont="1" applyBorder="1" applyAlignment="1" applyProtection="1">
      <alignment horizontal="center"/>
      <protection/>
    </xf>
    <xf numFmtId="175" fontId="7" fillId="0" borderId="0" xfId="0" applyNumberFormat="1" applyFont="1" applyBorder="1" applyAlignment="1" applyProtection="1">
      <alignment horizontal="center"/>
      <protection/>
    </xf>
    <xf numFmtId="0" fontId="11" fillId="0" borderId="0" xfId="0" applyFont="1" applyAlignment="1" applyProtection="1">
      <alignment horizontal="center"/>
      <protection/>
    </xf>
    <xf numFmtId="0" fontId="0" fillId="33" borderId="90" xfId="0" applyFill="1" applyBorder="1" applyAlignment="1" applyProtection="1">
      <alignment/>
      <protection/>
    </xf>
    <xf numFmtId="0" fontId="11" fillId="33" borderId="91" xfId="0" applyFont="1" applyFill="1" applyBorder="1" applyAlignment="1" applyProtection="1">
      <alignment horizontal="center"/>
      <protection/>
    </xf>
    <xf numFmtId="0" fontId="11" fillId="33" borderId="92" xfId="0" applyFont="1" applyFill="1" applyBorder="1" applyAlignment="1" applyProtection="1">
      <alignment horizontal="center"/>
      <protection/>
    </xf>
    <xf numFmtId="0" fontId="0" fillId="33" borderId="93" xfId="0" applyFill="1" applyBorder="1" applyAlignment="1" applyProtection="1">
      <alignment/>
      <protection/>
    </xf>
    <xf numFmtId="22" fontId="19" fillId="0" borderId="94" xfId="0" applyNumberFormat="1" applyFont="1" applyFill="1" applyBorder="1" applyAlignment="1" applyProtection="1">
      <alignment horizontal="center"/>
      <protection/>
    </xf>
    <xf numFmtId="0" fontId="11" fillId="33" borderId="95" xfId="0" applyFont="1" applyFill="1" applyBorder="1" applyAlignment="1" applyProtection="1">
      <alignment horizontal="center"/>
      <protection/>
    </xf>
    <xf numFmtId="0" fontId="0" fillId="0" borderId="0" xfId="0" applyBorder="1" applyAlignment="1" applyProtection="1">
      <alignment/>
      <protection/>
    </xf>
    <xf numFmtId="0" fontId="5" fillId="0" borderId="64" xfId="0" applyFont="1" applyFill="1" applyBorder="1" applyAlignment="1" applyProtection="1">
      <alignment horizontal="center"/>
      <protection/>
    </xf>
    <xf numFmtId="0" fontId="20" fillId="0" borderId="96" xfId="0" applyFont="1" applyFill="1" applyBorder="1" applyAlignment="1" applyProtection="1">
      <alignment horizontal="center"/>
      <protection/>
    </xf>
    <xf numFmtId="0" fontId="5" fillId="0" borderId="97" xfId="0" applyFont="1" applyFill="1" applyBorder="1" applyAlignment="1" applyProtection="1">
      <alignment horizontal="center"/>
      <protection/>
    </xf>
    <xf numFmtId="0" fontId="5" fillId="0" borderId="85" xfId="0" applyFont="1" applyFill="1" applyBorder="1" applyAlignment="1" applyProtection="1">
      <alignment horizontal="center"/>
      <protection/>
    </xf>
    <xf numFmtId="0" fontId="5" fillId="0" borderId="98"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0" xfId="0"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0" fillId="33" borderId="93" xfId="0" applyFill="1" applyBorder="1" applyAlignment="1" applyProtection="1">
      <alignment vertical="center"/>
      <protection/>
    </xf>
    <xf numFmtId="0" fontId="0" fillId="0" borderId="99" xfId="0" applyFill="1" applyBorder="1" applyAlignment="1" applyProtection="1">
      <alignment horizontal="center" vertical="center" textRotation="90" wrapText="1"/>
      <protection/>
    </xf>
    <xf numFmtId="0" fontId="0" fillId="0" borderId="100" xfId="0" applyFill="1" applyBorder="1" applyAlignment="1" applyProtection="1">
      <alignment horizontal="center" vertical="center" textRotation="90" wrapText="1"/>
      <protection/>
    </xf>
    <xf numFmtId="0" fontId="0" fillId="0" borderId="100" xfId="0" applyFill="1" applyBorder="1" applyAlignment="1" applyProtection="1">
      <alignment horizontal="center" vertical="center" wrapText="1"/>
      <protection/>
    </xf>
    <xf numFmtId="0" fontId="0" fillId="0" borderId="63" xfId="0" applyFill="1" applyBorder="1" applyAlignment="1" applyProtection="1">
      <alignment horizontal="center" vertical="center" wrapText="1"/>
      <protection/>
    </xf>
    <xf numFmtId="0" fontId="0" fillId="0" borderId="66" xfId="0" applyFill="1" applyBorder="1" applyAlignment="1" applyProtection="1">
      <alignment horizontal="center" vertical="center" wrapText="1"/>
      <protection/>
    </xf>
    <xf numFmtId="0" fontId="21" fillId="0" borderId="101"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textRotation="90" wrapText="1"/>
      <protection/>
    </xf>
    <xf numFmtId="0" fontId="0" fillId="0" borderId="13" xfId="0" applyFont="1" applyFill="1" applyBorder="1" applyAlignment="1" applyProtection="1">
      <alignment horizontal="center" vertical="center" textRotation="90" wrapText="1"/>
      <protection/>
    </xf>
    <xf numFmtId="0" fontId="0" fillId="0" borderId="62" xfId="0" applyFill="1" applyBorder="1" applyAlignment="1" applyProtection="1">
      <alignment horizontal="center" vertical="center" textRotation="90" wrapText="1"/>
      <protection/>
    </xf>
    <xf numFmtId="0" fontId="0" fillId="0" borderId="97" xfId="0" applyFill="1" applyBorder="1" applyAlignment="1" applyProtection="1">
      <alignment horizontal="center" vertical="center" textRotation="90" wrapText="1"/>
      <protection/>
    </xf>
    <xf numFmtId="0" fontId="0" fillId="0" borderId="85" xfId="0" applyFill="1" applyBorder="1" applyAlignment="1" applyProtection="1">
      <alignment horizontal="center" vertical="center" textRotation="90" wrapText="1"/>
      <protection/>
    </xf>
    <xf numFmtId="0" fontId="0" fillId="0" borderId="98" xfId="0" applyFill="1" applyBorder="1" applyAlignment="1" applyProtection="1">
      <alignment horizontal="center" vertical="center" textRotation="90" wrapText="1"/>
      <protection/>
    </xf>
    <xf numFmtId="0" fontId="0" fillId="0" borderId="0" xfId="0" applyAlignment="1" applyProtection="1">
      <alignment vertical="center"/>
      <protection/>
    </xf>
    <xf numFmtId="0" fontId="6" fillId="0" borderId="102" xfId="0" applyFont="1" applyFill="1" applyBorder="1" applyAlignment="1" applyProtection="1">
      <alignment horizontal="left" vertical="center" wrapText="1"/>
      <protection/>
    </xf>
    <xf numFmtId="0" fontId="4" fillId="0" borderId="102" xfId="0" applyFont="1" applyFill="1" applyBorder="1" applyAlignment="1" applyProtection="1">
      <alignment horizontal="center" vertical="center"/>
      <protection/>
    </xf>
    <xf numFmtId="0" fontId="4" fillId="0" borderId="86" xfId="0" applyFont="1" applyFill="1" applyBorder="1" applyAlignment="1" applyProtection="1">
      <alignment horizontal="center" vertical="center"/>
      <protection/>
    </xf>
    <xf numFmtId="0" fontId="4" fillId="0" borderId="103" xfId="0" applyFont="1" applyFill="1" applyBorder="1" applyAlignment="1" applyProtection="1">
      <alignment horizontal="center" vertical="center"/>
      <protection/>
    </xf>
    <xf numFmtId="9" fontId="0" fillId="0" borderId="62" xfId="59" applyFont="1" applyFill="1" applyBorder="1" applyAlignment="1" applyProtection="1">
      <alignment horizontal="center" vertical="center"/>
      <protection/>
    </xf>
    <xf numFmtId="9" fontId="0" fillId="0" borderId="99" xfId="59" applyFont="1" applyFill="1" applyBorder="1" applyAlignment="1" applyProtection="1">
      <alignment horizontal="center" vertical="center"/>
      <protection/>
    </xf>
    <xf numFmtId="9" fontId="0" fillId="0" borderId="66" xfId="59" applyFont="1" applyFill="1" applyBorder="1" applyAlignment="1" applyProtection="1">
      <alignment horizontal="center"/>
      <protection/>
    </xf>
    <xf numFmtId="2" fontId="4" fillId="0" borderId="0" xfId="0" applyNumberFormat="1" applyFont="1" applyFill="1" applyBorder="1" applyAlignment="1" applyProtection="1">
      <alignment horizontal="center" vertical="center"/>
      <protection/>
    </xf>
    <xf numFmtId="4" fontId="0" fillId="0" borderId="0" xfId="0" applyNumberFormat="1" applyFill="1" applyBorder="1" applyAlignment="1" applyProtection="1">
      <alignment horizontal="center" vertical="center"/>
      <protection/>
    </xf>
    <xf numFmtId="168" fontId="0" fillId="0" borderId="0" xfId="0" applyNumberFormat="1" applyFill="1" applyBorder="1" applyAlignment="1" applyProtection="1">
      <alignment horizontal="center" vertical="center"/>
      <protection/>
    </xf>
    <xf numFmtId="4" fontId="1" fillId="0" borderId="0" xfId="0" applyNumberFormat="1" applyFont="1" applyFill="1" applyBorder="1" applyAlignment="1" applyProtection="1">
      <alignment horizontal="center" vertical="center"/>
      <protection/>
    </xf>
    <xf numFmtId="3" fontId="0" fillId="0" borderId="0" xfId="0" applyNumberFormat="1" applyFill="1" applyBorder="1" applyAlignment="1" applyProtection="1">
      <alignment horizontal="center" vertical="center"/>
      <protection/>
    </xf>
    <xf numFmtId="177" fontId="0" fillId="0" borderId="0" xfId="0" applyNumberFormat="1" applyFill="1" applyBorder="1" applyAlignment="1" applyProtection="1">
      <alignment horizontal="center" vertical="center"/>
      <protection/>
    </xf>
    <xf numFmtId="177" fontId="1" fillId="0" borderId="0" xfId="0" applyNumberFormat="1" applyFont="1" applyFill="1" applyBorder="1" applyAlignment="1" applyProtection="1">
      <alignment horizontal="center" vertical="center"/>
      <protection/>
    </xf>
    <xf numFmtId="0" fontId="6" fillId="0" borderId="27" xfId="0" applyFont="1" applyFill="1" applyBorder="1" applyAlignment="1" applyProtection="1">
      <alignment horizontal="left" vertical="center" wrapText="1"/>
      <protection/>
    </xf>
    <xf numFmtId="0" fontId="4" fillId="0" borderId="27"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protection/>
    </xf>
    <xf numFmtId="9" fontId="0" fillId="0" borderId="38" xfId="59" applyFont="1" applyFill="1" applyBorder="1" applyAlignment="1" applyProtection="1">
      <alignment horizontal="center" vertical="center"/>
      <protection/>
    </xf>
    <xf numFmtId="9" fontId="0" fillId="0" borderId="29" xfId="59" applyFont="1" applyFill="1" applyBorder="1" applyAlignment="1" applyProtection="1">
      <alignment horizontal="center" vertical="center"/>
      <protection/>
    </xf>
    <xf numFmtId="9" fontId="0" fillId="0" borderId="13" xfId="59" applyFont="1" applyFill="1" applyBorder="1" applyAlignment="1" applyProtection="1">
      <alignment horizontal="center"/>
      <protection/>
    </xf>
    <xf numFmtId="0" fontId="6" fillId="0" borderId="72" xfId="0" applyFont="1" applyFill="1" applyBorder="1" applyAlignment="1" applyProtection="1">
      <alignment horizontal="left" vertical="center" wrapText="1"/>
      <protection/>
    </xf>
    <xf numFmtId="0" fontId="4" fillId="0" borderId="72" xfId="0" applyFont="1" applyFill="1" applyBorder="1" applyAlignment="1" applyProtection="1">
      <alignment horizontal="center" vertical="center"/>
      <protection/>
    </xf>
    <xf numFmtId="0" fontId="4" fillId="0" borderId="104" xfId="0" applyFont="1" applyFill="1" applyBorder="1" applyAlignment="1" applyProtection="1">
      <alignment horizontal="center" vertical="center"/>
      <protection/>
    </xf>
    <xf numFmtId="0" fontId="4" fillId="0" borderId="76" xfId="0" applyFont="1" applyFill="1" applyBorder="1" applyAlignment="1" applyProtection="1">
      <alignment horizontal="center" vertical="center"/>
      <protection/>
    </xf>
    <xf numFmtId="9" fontId="0" fillId="0" borderId="46" xfId="59" applyFont="1" applyFill="1" applyBorder="1" applyAlignment="1" applyProtection="1">
      <alignment horizontal="center" vertical="center"/>
      <protection/>
    </xf>
    <xf numFmtId="9" fontId="0" fillId="0" borderId="30" xfId="59" applyFont="1" applyFill="1" applyBorder="1" applyAlignment="1" applyProtection="1">
      <alignment horizontal="center" vertical="center"/>
      <protection/>
    </xf>
    <xf numFmtId="9" fontId="0" fillId="0" borderId="32" xfId="59" applyFont="1" applyFill="1" applyBorder="1" applyAlignment="1" applyProtection="1">
      <alignment horizontal="center"/>
      <protection/>
    </xf>
    <xf numFmtId="0" fontId="0" fillId="0" borderId="0" xfId="0" applyBorder="1" applyAlignment="1" applyProtection="1">
      <alignment vertical="center"/>
      <protection/>
    </xf>
    <xf numFmtId="9" fontId="0" fillId="0" borderId="63" xfId="59" applyFont="1" applyFill="1" applyBorder="1" applyAlignment="1" applyProtection="1">
      <alignment horizontal="center"/>
      <protection/>
    </xf>
    <xf numFmtId="9" fontId="0" fillId="0" borderId="39" xfId="59" applyFont="1" applyFill="1" applyBorder="1" applyAlignment="1" applyProtection="1">
      <alignment horizontal="center"/>
      <protection/>
    </xf>
    <xf numFmtId="9" fontId="0" fillId="0" borderId="47" xfId="59" applyFont="1" applyFill="1" applyBorder="1" applyAlignment="1" applyProtection="1">
      <alignment horizontal="center"/>
      <protection/>
    </xf>
    <xf numFmtId="0" fontId="0" fillId="33" borderId="0" xfId="0" applyFill="1" applyBorder="1" applyAlignment="1" applyProtection="1">
      <alignment/>
      <protection/>
    </xf>
    <xf numFmtId="0" fontId="14" fillId="0" borderId="105" xfId="0" applyFont="1" applyFill="1" applyBorder="1" applyAlignment="1" applyProtection="1">
      <alignment horizontal="center" vertical="center" wrapText="1"/>
      <protection/>
    </xf>
    <xf numFmtId="49" fontId="15" fillId="0" borderId="45" xfId="0" applyNumberFormat="1" applyFont="1" applyFill="1" applyBorder="1" applyAlignment="1" applyProtection="1">
      <alignment horizontal="right" vertical="center"/>
      <protection/>
    </xf>
    <xf numFmtId="0" fontId="9" fillId="0" borderId="45" xfId="0" applyFont="1" applyFill="1" applyBorder="1" applyAlignment="1" applyProtection="1">
      <alignment horizontal="center" vertical="center"/>
      <protection/>
    </xf>
    <xf numFmtId="0" fontId="9" fillId="0" borderId="42" xfId="0" applyFont="1" applyFill="1" applyBorder="1" applyAlignment="1" applyProtection="1">
      <alignment horizontal="center" vertical="center"/>
      <protection/>
    </xf>
    <xf numFmtId="181" fontId="8" fillId="0" borderId="25" xfId="42" applyNumberFormat="1" applyFont="1" applyFill="1" applyBorder="1" applyAlignment="1" applyProtection="1">
      <alignment horizontal="center" vertical="center"/>
      <protection/>
    </xf>
    <xf numFmtId="182" fontId="8" fillId="0" borderId="45" xfId="0" applyNumberFormat="1" applyFont="1" applyFill="1" applyBorder="1" applyAlignment="1" applyProtection="1">
      <alignment horizontal="center" vertical="center"/>
      <protection/>
    </xf>
    <xf numFmtId="0" fontId="8" fillId="0" borderId="31" xfId="0" applyNumberFormat="1"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49" fontId="8" fillId="0" borderId="45" xfId="0" applyNumberFormat="1" applyFont="1" applyFill="1" applyBorder="1" applyAlignment="1" applyProtection="1">
      <alignment horizontal="center" vertical="center"/>
      <protection/>
    </xf>
    <xf numFmtId="181" fontId="8" fillId="33" borderId="0" xfId="42"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horizontal="center" vertical="center"/>
      <protection/>
    </xf>
    <xf numFmtId="0" fontId="0" fillId="33" borderId="103" xfId="0" applyFill="1" applyBorder="1" applyAlignment="1" applyProtection="1">
      <alignment horizontal="center"/>
      <protection/>
    </xf>
    <xf numFmtId="177" fontId="1" fillId="0" borderId="102" xfId="42" applyNumberFormat="1" applyFont="1" applyFill="1" applyBorder="1" applyAlignment="1" applyProtection="1">
      <alignment horizontal="center" vertical="center"/>
      <protection/>
    </xf>
    <xf numFmtId="1" fontId="0" fillId="33" borderId="102" xfId="42" applyNumberFormat="1" applyFont="1" applyFill="1" applyBorder="1" applyAlignment="1" applyProtection="1">
      <alignment horizontal="center" vertical="center"/>
      <protection/>
    </xf>
    <xf numFmtId="1" fontId="1" fillId="0" borderId="86" xfId="42" applyNumberFormat="1" applyFont="1" applyFill="1" applyBorder="1" applyAlignment="1" applyProtection="1">
      <alignment horizontal="center" vertical="center"/>
      <protection/>
    </xf>
    <xf numFmtId="1" fontId="0" fillId="33" borderId="103" xfId="42" applyNumberFormat="1" applyFont="1" applyFill="1" applyBorder="1" applyAlignment="1" applyProtection="1">
      <alignment horizontal="center" vertical="center"/>
      <protection/>
    </xf>
    <xf numFmtId="0" fontId="0" fillId="33" borderId="102" xfId="0" applyFont="1" applyFill="1" applyBorder="1" applyAlignment="1" applyProtection="1">
      <alignment/>
      <protection/>
    </xf>
    <xf numFmtId="1" fontId="1" fillId="0" borderId="86" xfId="0" applyNumberFormat="1" applyFont="1" applyBorder="1" applyAlignment="1" applyProtection="1">
      <alignment horizontal="center"/>
      <protection/>
    </xf>
    <xf numFmtId="0" fontId="0" fillId="33" borderId="95" xfId="0" applyFill="1" applyBorder="1" applyAlignment="1" applyProtection="1">
      <alignment/>
      <protection/>
    </xf>
    <xf numFmtId="0" fontId="0" fillId="33" borderId="0" xfId="0" applyFill="1" applyBorder="1" applyAlignment="1" applyProtection="1">
      <alignment vertical="center"/>
      <protection/>
    </xf>
    <xf numFmtId="0" fontId="15" fillId="0" borderId="76" xfId="0" applyFont="1" applyFill="1" applyBorder="1" applyAlignment="1" applyProtection="1">
      <alignment horizontal="right" vertical="center" wrapText="1"/>
      <protection/>
    </xf>
    <xf numFmtId="0" fontId="9" fillId="0" borderId="72" xfId="0" applyFont="1" applyFill="1" applyBorder="1" applyAlignment="1" applyProtection="1">
      <alignment horizontal="center" vertical="center"/>
      <protection/>
    </xf>
    <xf numFmtId="0" fontId="9" fillId="0" borderId="104" xfId="0" applyFont="1" applyFill="1" applyBorder="1" applyAlignment="1" applyProtection="1">
      <alignment horizontal="center" vertical="center"/>
      <protection/>
    </xf>
    <xf numFmtId="181" fontId="8" fillId="0" borderId="70" xfId="42" applyNumberFormat="1" applyFont="1" applyFill="1" applyBorder="1" applyAlignment="1" applyProtection="1">
      <alignment horizontal="center" vertical="center"/>
      <protection/>
    </xf>
    <xf numFmtId="182" fontId="8" fillId="0" borderId="72" xfId="0" applyNumberFormat="1" applyFont="1" applyFill="1" applyBorder="1" applyAlignment="1" applyProtection="1">
      <alignment horizontal="center" vertical="center"/>
      <protection/>
    </xf>
    <xf numFmtId="0" fontId="8" fillId="0" borderId="69" xfId="0" applyNumberFormat="1" applyFont="1" applyFill="1" applyBorder="1" applyAlignment="1" applyProtection="1">
      <alignment horizontal="center" vertical="center"/>
      <protection/>
    </xf>
    <xf numFmtId="0" fontId="9" fillId="0" borderId="76" xfId="0" applyFont="1" applyFill="1" applyBorder="1" applyAlignment="1" applyProtection="1">
      <alignment horizontal="center" vertical="center"/>
      <protection/>
    </xf>
    <xf numFmtId="49" fontId="8" fillId="0" borderId="72" xfId="0" applyNumberFormat="1" applyFont="1" applyFill="1" applyBorder="1" applyAlignment="1" applyProtection="1">
      <alignment horizontal="center" vertical="center"/>
      <protection/>
    </xf>
    <xf numFmtId="177" fontId="1" fillId="0" borderId="76" xfId="42" applyNumberFormat="1" applyFont="1" applyFill="1" applyBorder="1" applyAlignment="1" applyProtection="1">
      <alignment horizontal="center" vertical="center"/>
      <protection/>
    </xf>
    <xf numFmtId="49" fontId="8" fillId="33" borderId="72" xfId="0" applyNumberFormat="1" applyFont="1" applyFill="1" applyBorder="1" applyAlignment="1" applyProtection="1">
      <alignment horizontal="center" vertical="center"/>
      <protection/>
    </xf>
    <xf numFmtId="1" fontId="1" fillId="33" borderId="104" xfId="0" applyNumberFormat="1" applyFont="1" applyFill="1" applyBorder="1" applyAlignment="1" applyProtection="1">
      <alignment horizontal="center"/>
      <protection/>
    </xf>
    <xf numFmtId="49" fontId="8" fillId="33" borderId="76" xfId="0" applyNumberFormat="1" applyFont="1" applyFill="1" applyBorder="1" applyAlignment="1" applyProtection="1">
      <alignment horizontal="center" vertical="center"/>
      <protection/>
    </xf>
    <xf numFmtId="4" fontId="1" fillId="33" borderId="72" xfId="42" applyFont="1" applyFill="1" applyBorder="1" applyAlignment="1" applyProtection="1">
      <alignment horizontal="right"/>
      <protection/>
    </xf>
    <xf numFmtId="0" fontId="0" fillId="33" borderId="0" xfId="0" applyFill="1" applyBorder="1" applyAlignment="1" applyProtection="1">
      <alignment horizontal="center"/>
      <protection/>
    </xf>
    <xf numFmtId="0" fontId="0" fillId="33" borderId="106" xfId="0" applyFill="1" applyBorder="1" applyAlignment="1" applyProtection="1">
      <alignment/>
      <protection/>
    </xf>
    <xf numFmtId="0" fontId="0" fillId="33" borderId="107" xfId="0" applyFill="1" applyBorder="1" applyAlignment="1" applyProtection="1">
      <alignment/>
      <protection/>
    </xf>
    <xf numFmtId="0" fontId="0" fillId="33" borderId="108" xfId="0" applyFill="1" applyBorder="1" applyAlignment="1" applyProtection="1">
      <alignment/>
      <protection/>
    </xf>
    <xf numFmtId="0" fontId="0" fillId="33" borderId="108" xfId="0" applyFill="1" applyBorder="1" applyAlignment="1" applyProtection="1">
      <alignment horizontal="center"/>
      <protection/>
    </xf>
    <xf numFmtId="0" fontId="0" fillId="33" borderId="109" xfId="0" applyFill="1" applyBorder="1" applyAlignment="1" applyProtection="1">
      <alignment/>
      <protection/>
    </xf>
    <xf numFmtId="1" fontId="0" fillId="0" borderId="0" xfId="0" applyNumberFormat="1" applyBorder="1" applyAlignment="1" applyProtection="1">
      <alignment/>
      <protection/>
    </xf>
    <xf numFmtId="1" fontId="0" fillId="0" borderId="41" xfId="0" applyNumberFormat="1" applyBorder="1" applyAlignment="1" applyProtection="1">
      <alignment/>
      <protection/>
    </xf>
    <xf numFmtId="0" fontId="0" fillId="0" borderId="0" xfId="0" applyAlignment="1" applyProtection="1">
      <alignment horizontal="left"/>
      <protection/>
    </xf>
    <xf numFmtId="1" fontId="0" fillId="0" borderId="45" xfId="0" applyNumberFormat="1" applyBorder="1" applyAlignment="1" applyProtection="1">
      <alignment/>
      <protection/>
    </xf>
    <xf numFmtId="175" fontId="39" fillId="0" borderId="37" xfId="59" applyNumberFormat="1" applyFont="1" applyBorder="1" applyAlignment="1">
      <alignment horizontal="center" vertical="center"/>
    </xf>
    <xf numFmtId="200" fontId="24" fillId="0" borderId="28" xfId="0" applyNumberFormat="1" applyFont="1" applyBorder="1" applyAlignment="1" applyProtection="1">
      <alignment vertical="center" wrapText="1"/>
      <protection/>
    </xf>
    <xf numFmtId="200" fontId="16" fillId="0" borderId="12" xfId="0" applyNumberFormat="1" applyFont="1" applyBorder="1" applyAlignment="1" applyProtection="1">
      <alignment horizontal="center" vertical="center"/>
      <protection/>
    </xf>
    <xf numFmtId="200" fontId="16" fillId="0" borderId="37" xfId="0" applyNumberFormat="1" applyFont="1" applyBorder="1" applyAlignment="1" applyProtection="1">
      <alignment horizontal="center" vertical="center"/>
      <protection/>
    </xf>
    <xf numFmtId="200" fontId="16" fillId="0" borderId="10" xfId="0" applyNumberFormat="1" applyFont="1" applyBorder="1" applyAlignment="1" applyProtection="1">
      <alignment horizontal="center" vertical="center"/>
      <protection/>
    </xf>
    <xf numFmtId="200" fontId="29" fillId="0" borderId="110" xfId="0" applyNumberFormat="1" applyFont="1" applyBorder="1" applyAlignment="1" applyProtection="1">
      <alignment horizontal="center" vertical="center"/>
      <protection locked="0"/>
    </xf>
    <xf numFmtId="200" fontId="29" fillId="0" borderId="17" xfId="0" applyNumberFormat="1" applyFont="1" applyBorder="1" applyAlignment="1" applyProtection="1">
      <alignment horizontal="center" vertical="center"/>
      <protection locked="0"/>
    </xf>
    <xf numFmtId="200" fontId="29" fillId="0" borderId="111" xfId="0" applyNumberFormat="1" applyFont="1" applyBorder="1" applyAlignment="1" applyProtection="1">
      <alignment horizontal="center" vertical="center"/>
      <protection locked="0"/>
    </xf>
    <xf numFmtId="200" fontId="29" fillId="0" borderId="112" xfId="0" applyNumberFormat="1" applyFont="1" applyBorder="1" applyAlignment="1" applyProtection="1">
      <alignment horizontal="center" vertical="center"/>
      <protection locked="0"/>
    </xf>
    <xf numFmtId="200" fontId="16" fillId="0" borderId="35" xfId="0" applyNumberFormat="1" applyFont="1" applyBorder="1" applyAlignment="1" applyProtection="1">
      <alignment horizontal="center" vertical="center"/>
      <protection/>
    </xf>
    <xf numFmtId="200" fontId="24" fillId="0" borderId="29" xfId="0" applyNumberFormat="1" applyFont="1" applyBorder="1" applyAlignment="1" applyProtection="1">
      <alignment vertical="center" wrapText="1"/>
      <protection/>
    </xf>
    <xf numFmtId="200" fontId="16" fillId="0" borderId="13" xfId="0" applyNumberFormat="1" applyFont="1" applyBorder="1" applyAlignment="1" applyProtection="1">
      <alignment horizontal="center" vertical="center"/>
      <protection/>
    </xf>
    <xf numFmtId="200" fontId="16" fillId="0" borderId="41" xfId="0" applyNumberFormat="1" applyFont="1" applyBorder="1" applyAlignment="1" applyProtection="1">
      <alignment horizontal="center" vertical="center"/>
      <protection/>
    </xf>
    <xf numFmtId="200" fontId="16" fillId="0" borderId="0" xfId="0" applyNumberFormat="1" applyFont="1" applyBorder="1" applyAlignment="1" applyProtection="1">
      <alignment horizontal="center" vertical="center"/>
      <protection/>
    </xf>
    <xf numFmtId="200" fontId="29" fillId="0" borderId="113" xfId="0" applyNumberFormat="1" applyFont="1" applyBorder="1" applyAlignment="1" applyProtection="1">
      <alignment horizontal="center" vertical="center"/>
      <protection locked="0"/>
    </xf>
    <xf numFmtId="200" fontId="29" fillId="0" borderId="19" xfId="0" applyNumberFormat="1" applyFont="1" applyBorder="1" applyAlignment="1" applyProtection="1">
      <alignment horizontal="center" vertical="center"/>
      <protection locked="0"/>
    </xf>
    <xf numFmtId="200" fontId="29" fillId="0" borderId="114" xfId="0" applyNumberFormat="1" applyFont="1" applyBorder="1" applyAlignment="1" applyProtection="1">
      <alignment horizontal="center" vertical="center"/>
      <protection locked="0"/>
    </xf>
    <xf numFmtId="200" fontId="29" fillId="0" borderId="38" xfId="0" applyNumberFormat="1" applyFont="1" applyBorder="1" applyAlignment="1" applyProtection="1">
      <alignment horizontal="center" vertical="center"/>
      <protection locked="0"/>
    </xf>
    <xf numFmtId="200" fontId="16" fillId="0" borderId="45" xfId="0" applyNumberFormat="1" applyFont="1" applyBorder="1" applyAlignment="1" applyProtection="1">
      <alignment horizontal="center" vertical="center"/>
      <protection/>
    </xf>
    <xf numFmtId="200" fontId="16" fillId="0" borderId="11" xfId="0" applyNumberFormat="1" applyFont="1" applyBorder="1" applyAlignment="1" applyProtection="1">
      <alignment horizontal="center" vertical="center"/>
      <protection/>
    </xf>
    <xf numFmtId="200" fontId="29" fillId="0" borderId="115" xfId="0" applyNumberFormat="1" applyFont="1" applyBorder="1" applyAlignment="1" applyProtection="1">
      <alignment horizontal="center" vertical="center"/>
      <protection locked="0"/>
    </xf>
    <xf numFmtId="200" fontId="29" fillId="0" borderId="21" xfId="0" applyNumberFormat="1" applyFont="1" applyBorder="1" applyAlignment="1" applyProtection="1">
      <alignment horizontal="center" vertical="center"/>
      <protection locked="0"/>
    </xf>
    <xf numFmtId="200" fontId="29" fillId="0" borderId="116" xfId="0" applyNumberFormat="1" applyFont="1" applyBorder="1" applyAlignment="1" applyProtection="1">
      <alignment horizontal="center" vertical="center"/>
      <protection locked="0"/>
    </xf>
    <xf numFmtId="200" fontId="29" fillId="0" borderId="117" xfId="0" applyNumberFormat="1" applyFont="1" applyBorder="1" applyAlignment="1" applyProtection="1">
      <alignment horizontal="center" vertical="center"/>
      <protection locked="0"/>
    </xf>
    <xf numFmtId="200" fontId="24" fillId="0" borderId="43" xfId="0" applyNumberFormat="1" applyFont="1" applyBorder="1" applyAlignment="1" applyProtection="1">
      <alignment vertical="center" wrapText="1"/>
      <protection/>
    </xf>
    <xf numFmtId="200" fontId="16" fillId="1" borderId="38" xfId="0" applyNumberFormat="1" applyFont="1" applyFill="1" applyBorder="1" applyAlignment="1" applyProtection="1">
      <alignment vertical="center"/>
      <protection/>
    </xf>
    <xf numFmtId="200" fontId="16" fillId="1" borderId="0" xfId="0" applyNumberFormat="1" applyFont="1" applyFill="1" applyBorder="1" applyAlignment="1" applyProtection="1">
      <alignment vertical="center"/>
      <protection/>
    </xf>
    <xf numFmtId="200" fontId="24" fillId="0" borderId="12" xfId="0" applyNumberFormat="1" applyFont="1" applyBorder="1" applyAlignment="1" applyProtection="1">
      <alignment horizontal="centerContinuous" vertical="center"/>
      <protection/>
    </xf>
    <xf numFmtId="200" fontId="24" fillId="0" borderId="10" xfId="0" applyNumberFormat="1" applyFont="1" applyBorder="1" applyAlignment="1" applyProtection="1">
      <alignment horizontal="centerContinuous" vertical="center"/>
      <protection/>
    </xf>
    <xf numFmtId="200" fontId="9" fillId="0" borderId="10" xfId="0" applyNumberFormat="1" applyFont="1" applyBorder="1" applyAlignment="1" applyProtection="1">
      <alignment horizontal="right" vertical="center"/>
      <protection/>
    </xf>
    <xf numFmtId="200" fontId="16" fillId="0" borderId="27" xfId="0" applyNumberFormat="1" applyFont="1" applyBorder="1" applyAlignment="1" applyProtection="1">
      <alignment horizontal="center" vertical="center"/>
      <protection/>
    </xf>
    <xf numFmtId="200" fontId="16" fillId="0" borderId="71" xfId="0" applyNumberFormat="1" applyFont="1" applyBorder="1" applyAlignment="1" applyProtection="1">
      <alignment horizontal="center" vertical="center"/>
      <protection/>
    </xf>
    <xf numFmtId="200" fontId="29" fillId="0" borderId="54" xfId="0" applyNumberFormat="1" applyFont="1" applyFill="1" applyBorder="1" applyAlignment="1" applyProtection="1">
      <alignment horizontal="center" vertical="center"/>
      <protection locked="0"/>
    </xf>
    <xf numFmtId="1" fontId="0" fillId="0" borderId="0" xfId="0" applyNumberFormat="1" applyAlignment="1" applyProtection="1">
      <alignment/>
      <protection/>
    </xf>
    <xf numFmtId="0" fontId="94" fillId="0" borderId="0" xfId="0" applyFont="1" applyAlignment="1" applyProtection="1">
      <alignment vertical="center"/>
      <protection locked="0"/>
    </xf>
    <xf numFmtId="4" fontId="32" fillId="0" borderId="0" xfId="0" applyNumberFormat="1" applyFont="1" applyFill="1" applyBorder="1" applyAlignment="1" applyProtection="1">
      <alignment horizontal="centerContinuous" vertical="center"/>
      <protection/>
    </xf>
    <xf numFmtId="4" fontId="16" fillId="0" borderId="0" xfId="0" applyNumberFormat="1" applyFont="1" applyFill="1" applyBorder="1" applyAlignment="1" applyProtection="1">
      <alignment horizontal="centerContinuous" vertical="center"/>
      <protection/>
    </xf>
    <xf numFmtId="2" fontId="11" fillId="0" borderId="0" xfId="0" applyNumberFormat="1" applyFont="1" applyFill="1" applyBorder="1" applyAlignment="1" applyProtection="1">
      <alignment horizontal="centerContinuous" vertical="center"/>
      <protection/>
    </xf>
    <xf numFmtId="0" fontId="16" fillId="34" borderId="62" xfId="0" applyFont="1" applyFill="1" applyBorder="1" applyAlignment="1" applyProtection="1">
      <alignment vertical="center"/>
      <protection locked="0"/>
    </xf>
    <xf numFmtId="0" fontId="16" fillId="34" borderId="60" xfId="0" applyFont="1" applyFill="1" applyBorder="1" applyAlignment="1" applyProtection="1">
      <alignment vertical="center"/>
      <protection locked="0"/>
    </xf>
    <xf numFmtId="0" fontId="95" fillId="34" borderId="60" xfId="0" applyFont="1" applyFill="1" applyBorder="1" applyAlignment="1" applyProtection="1">
      <alignment vertical="center"/>
      <protection locked="0"/>
    </xf>
    <xf numFmtId="0" fontId="16" fillId="34" borderId="61" xfId="0" applyFont="1" applyFill="1" applyBorder="1" applyAlignment="1" applyProtection="1">
      <alignment vertical="center"/>
      <protection locked="0"/>
    </xf>
    <xf numFmtId="0" fontId="16" fillId="34" borderId="38" xfId="0" applyFont="1" applyFill="1" applyBorder="1" applyAlignment="1" applyProtection="1">
      <alignment vertical="center"/>
      <protection locked="0"/>
    </xf>
    <xf numFmtId="0" fontId="16" fillId="34" borderId="0" xfId="0" applyFont="1" applyFill="1" applyBorder="1" applyAlignment="1" applyProtection="1">
      <alignment vertical="center"/>
      <protection locked="0"/>
    </xf>
    <xf numFmtId="0" fontId="16" fillId="34" borderId="40" xfId="0" applyFont="1" applyFill="1" applyBorder="1" applyAlignment="1" applyProtection="1">
      <alignment vertical="center"/>
      <protection locked="0"/>
    </xf>
    <xf numFmtId="0" fontId="26" fillId="34" borderId="38" xfId="0" applyFont="1" applyFill="1" applyBorder="1" applyAlignment="1" applyProtection="1">
      <alignment vertical="center"/>
      <protection locked="0"/>
    </xf>
    <xf numFmtId="0" fontId="26" fillId="34" borderId="0" xfId="0" applyFont="1" applyFill="1" applyBorder="1" applyAlignment="1" applyProtection="1">
      <alignment vertical="center"/>
      <protection locked="0"/>
    </xf>
    <xf numFmtId="17" fontId="26" fillId="34" borderId="0" xfId="0" applyNumberFormat="1" applyFont="1" applyFill="1" applyBorder="1" applyAlignment="1" applyProtection="1">
      <alignment vertical="center"/>
      <protection locked="0"/>
    </xf>
    <xf numFmtId="0" fontId="96" fillId="34" borderId="0" xfId="0" applyFont="1" applyFill="1" applyBorder="1" applyAlignment="1" applyProtection="1">
      <alignment vertical="center"/>
      <protection locked="0"/>
    </xf>
    <xf numFmtId="6" fontId="16" fillId="34" borderId="0" xfId="0" applyNumberFormat="1" applyFont="1" applyFill="1" applyBorder="1" applyAlignment="1" applyProtection="1">
      <alignment vertical="center"/>
      <protection locked="0"/>
    </xf>
    <xf numFmtId="0" fontId="16" fillId="34" borderId="46" xfId="0" applyFont="1" applyFill="1" applyBorder="1" applyAlignment="1" applyProtection="1">
      <alignment vertical="center"/>
      <protection locked="0"/>
    </xf>
    <xf numFmtId="6" fontId="16" fillId="34" borderId="33" xfId="0" applyNumberFormat="1" applyFont="1" applyFill="1" applyBorder="1" applyAlignment="1" applyProtection="1">
      <alignment vertical="center"/>
      <protection locked="0"/>
    </xf>
    <xf numFmtId="0" fontId="16" fillId="34" borderId="33" xfId="0" applyFont="1" applyFill="1" applyBorder="1" applyAlignment="1" applyProtection="1">
      <alignment vertical="center"/>
      <protection locked="0"/>
    </xf>
    <xf numFmtId="0" fontId="9" fillId="34" borderId="0" xfId="0" applyFont="1" applyFill="1" applyBorder="1" applyAlignment="1" applyProtection="1">
      <alignment vertical="center"/>
      <protection locked="0"/>
    </xf>
    <xf numFmtId="0" fontId="16" fillId="0" borderId="0" xfId="0" applyFont="1" applyBorder="1" applyAlignment="1" applyProtection="1">
      <alignment horizontal="left" vertical="center"/>
      <protection/>
    </xf>
    <xf numFmtId="0" fontId="16" fillId="0" borderId="0" xfId="0" applyFont="1" applyBorder="1" applyAlignment="1" applyProtection="1">
      <alignment vertical="center"/>
      <protection/>
    </xf>
    <xf numFmtId="1" fontId="16" fillId="0" borderId="0" xfId="59" applyNumberFormat="1" applyFont="1" applyFill="1" applyBorder="1" applyAlignment="1" applyProtection="1">
      <alignment horizontal="center" vertical="center"/>
      <protection/>
    </xf>
    <xf numFmtId="0" fontId="9" fillId="0" borderId="11" xfId="0" applyFont="1" applyBorder="1" applyAlignment="1" applyProtection="1">
      <alignment horizontal="centerContinuous" vertical="center"/>
      <protection/>
    </xf>
    <xf numFmtId="6" fontId="15" fillId="33" borderId="0" xfId="44" applyNumberFormat="1" applyFont="1" applyFill="1" applyBorder="1" applyAlignment="1" applyProtection="1">
      <alignment horizontal="centerContinuous" vertical="center"/>
      <protection/>
    </xf>
    <xf numFmtId="6" fontId="15" fillId="0" borderId="51" xfId="44" applyNumberFormat="1" applyFont="1" applyFill="1" applyBorder="1" applyAlignment="1" applyProtection="1">
      <alignment horizontal="centerContinuous" vertical="center"/>
      <protection/>
    </xf>
    <xf numFmtId="0" fontId="31" fillId="0" borderId="27" xfId="0" applyFont="1" applyBorder="1" applyAlignment="1" applyProtection="1">
      <alignment horizontal="center" vertical="center"/>
      <protection/>
    </xf>
    <xf numFmtId="1" fontId="31" fillId="0" borderId="27" xfId="44" applyNumberFormat="1" applyFont="1" applyBorder="1" applyAlignment="1" applyProtection="1">
      <alignment horizontal="center" vertical="center"/>
      <protection/>
    </xf>
    <xf numFmtId="9" fontId="16" fillId="0" borderId="0" xfId="59" applyFont="1" applyFill="1" applyBorder="1" applyAlignment="1" applyProtection="1">
      <alignment horizontal="center" vertical="center"/>
      <protection/>
    </xf>
    <xf numFmtId="0" fontId="23" fillId="0" borderId="57" xfId="0" applyFont="1" applyFill="1" applyBorder="1" applyAlignment="1" applyProtection="1">
      <alignment horizontal="centerContinuous" vertical="center"/>
      <protection/>
    </xf>
    <xf numFmtId="6" fontId="9" fillId="0" borderId="51" xfId="44" applyNumberFormat="1" applyFont="1" applyFill="1" applyBorder="1" applyAlignment="1" applyProtection="1">
      <alignment horizontal="centerContinuous" vertical="center"/>
      <protection/>
    </xf>
    <xf numFmtId="0" fontId="24" fillId="0" borderId="37" xfId="0" applyFont="1" applyBorder="1" applyAlignment="1" applyProtection="1">
      <alignment horizontal="center" vertical="center"/>
      <protection/>
    </xf>
    <xf numFmtId="14" fontId="24" fillId="0" borderId="41" xfId="0" applyNumberFormat="1" applyFont="1" applyBorder="1" applyAlignment="1" applyProtection="1">
      <alignment horizontal="center" vertical="center"/>
      <protection/>
    </xf>
    <xf numFmtId="0" fontId="37" fillId="0" borderId="0" xfId="0" applyFont="1" applyFill="1" applyBorder="1" applyAlignment="1" applyProtection="1">
      <alignment horizontal="center" vertical="center"/>
      <protection locked="0"/>
    </xf>
    <xf numFmtId="0" fontId="24" fillId="0" borderId="24" xfId="0" applyFont="1" applyBorder="1" applyAlignment="1" applyProtection="1">
      <alignment horizontal="center" vertical="center"/>
      <protection/>
    </xf>
    <xf numFmtId="0" fontId="24" fillId="0" borderId="118" xfId="0" applyFont="1" applyBorder="1" applyAlignment="1" applyProtection="1">
      <alignment horizontal="center" vertical="center"/>
      <protection/>
    </xf>
    <xf numFmtId="200" fontId="29" fillId="0" borderId="119" xfId="0" applyNumberFormat="1" applyFont="1" applyBorder="1" applyAlignment="1" applyProtection="1">
      <alignment horizontal="center" vertical="center"/>
      <protection locked="0"/>
    </xf>
    <xf numFmtId="200" fontId="29" fillId="0" borderId="120" xfId="0" applyNumberFormat="1" applyFont="1" applyBorder="1" applyAlignment="1" applyProtection="1">
      <alignment horizontal="center" vertical="center"/>
      <protection locked="0"/>
    </xf>
    <xf numFmtId="200" fontId="29" fillId="0" borderId="121" xfId="0" applyNumberFormat="1" applyFont="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xf>
    <xf numFmtId="0" fontId="0" fillId="0" borderId="67" xfId="0" applyFill="1" applyBorder="1" applyAlignment="1" applyProtection="1">
      <alignment horizontal="center" vertical="center" textRotation="90" wrapText="1"/>
      <protection/>
    </xf>
    <xf numFmtId="0" fontId="4" fillId="0" borderId="122"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70" xfId="0" applyFont="1" applyFill="1" applyBorder="1" applyAlignment="1" applyProtection="1">
      <alignment horizontal="center" vertical="center"/>
      <protection/>
    </xf>
    <xf numFmtId="9" fontId="16" fillId="0" borderId="0" xfId="59" applyFont="1" applyFill="1" applyBorder="1" applyAlignment="1" applyProtection="1">
      <alignment horizontal="centerContinuous" vertical="center"/>
      <protection/>
    </xf>
    <xf numFmtId="200" fontId="16" fillId="0" borderId="14" xfId="0" applyNumberFormat="1" applyFont="1" applyBorder="1" applyAlignment="1" applyProtection="1">
      <alignment horizontal="center" vertical="center"/>
      <protection/>
    </xf>
    <xf numFmtId="200" fontId="16" fillId="0" borderId="25" xfId="0" applyNumberFormat="1" applyFont="1" applyBorder="1" applyAlignment="1" applyProtection="1">
      <alignment horizontal="center" vertical="center"/>
      <protection/>
    </xf>
    <xf numFmtId="200" fontId="16" fillId="0" borderId="28" xfId="0" applyNumberFormat="1" applyFont="1" applyBorder="1" applyAlignment="1" applyProtection="1">
      <alignment horizontal="center" vertical="center"/>
      <protection/>
    </xf>
    <xf numFmtId="200" fontId="16" fillId="0" borderId="29" xfId="0" applyNumberFormat="1" applyFont="1" applyBorder="1" applyAlignment="1" applyProtection="1">
      <alignment horizontal="center" vertical="center"/>
      <protection/>
    </xf>
    <xf numFmtId="200" fontId="16" fillId="0" borderId="43" xfId="0" applyNumberFormat="1" applyFont="1" applyBorder="1" applyAlignment="1" applyProtection="1">
      <alignment horizontal="center" vertical="center"/>
      <protection/>
    </xf>
    <xf numFmtId="3" fontId="31" fillId="0" borderId="72" xfId="44" applyNumberFormat="1" applyFont="1" applyBorder="1" applyAlignment="1" applyProtection="1">
      <alignment horizontal="center" vertical="center"/>
      <protection/>
    </xf>
    <xf numFmtId="200" fontId="16" fillId="0" borderId="55" xfId="0" applyNumberFormat="1" applyFont="1" applyBorder="1" applyAlignment="1" applyProtection="1">
      <alignment horizontal="center" vertical="center"/>
      <protection/>
    </xf>
    <xf numFmtId="200" fontId="16" fillId="0" borderId="123" xfId="0" applyNumberFormat="1" applyFont="1" applyBorder="1" applyAlignment="1" applyProtection="1">
      <alignment horizontal="center" vertical="center"/>
      <protection/>
    </xf>
    <xf numFmtId="200" fontId="16" fillId="0" borderId="124" xfId="0" applyNumberFormat="1" applyFont="1" applyBorder="1" applyAlignment="1" applyProtection="1">
      <alignment horizontal="center" vertical="center"/>
      <protection/>
    </xf>
    <xf numFmtId="176" fontId="16" fillId="0" borderId="0" xfId="44" applyNumberFormat="1" applyFont="1" applyAlignment="1" applyProtection="1">
      <alignment horizontal="center" vertical="center"/>
      <protection/>
    </xf>
    <xf numFmtId="0" fontId="16" fillId="34" borderId="33" xfId="0" applyFont="1" applyFill="1" applyBorder="1" applyAlignment="1" applyProtection="1">
      <alignment vertical="center"/>
      <protection/>
    </xf>
    <xf numFmtId="0" fontId="16" fillId="34" borderId="48" xfId="0" applyFont="1" applyFill="1" applyBorder="1" applyAlignment="1" applyProtection="1">
      <alignment vertical="center"/>
      <protection/>
    </xf>
    <xf numFmtId="0" fontId="12" fillId="0" borderId="24" xfId="0" applyFont="1" applyFill="1" applyBorder="1" applyAlignment="1" applyProtection="1">
      <alignment horizontal="centerContinuous" vertical="center"/>
      <protection/>
    </xf>
    <xf numFmtId="0" fontId="12" fillId="0" borderId="23" xfId="0" applyFont="1" applyFill="1" applyBorder="1" applyAlignment="1" applyProtection="1">
      <alignment horizontal="centerContinuous" vertical="center"/>
      <protection/>
    </xf>
    <xf numFmtId="0" fontId="26" fillId="34" borderId="125" xfId="0" applyFont="1" applyFill="1" applyBorder="1" applyAlignment="1" applyProtection="1">
      <alignment vertical="center"/>
      <protection locked="0"/>
    </xf>
    <xf numFmtId="6" fontId="28" fillId="0" borderId="13" xfId="44" applyNumberFormat="1" applyFont="1" applyFill="1" applyBorder="1" applyAlignment="1" applyProtection="1">
      <alignment horizontal="center" vertical="center"/>
      <protection/>
    </xf>
    <xf numFmtId="6" fontId="28" fillId="0" borderId="0" xfId="44" applyNumberFormat="1" applyFont="1" applyFill="1" applyBorder="1" applyAlignment="1" applyProtection="1">
      <alignment horizontal="center" vertical="center"/>
      <protection/>
    </xf>
    <xf numFmtId="6" fontId="28" fillId="0" borderId="40" xfId="44" applyNumberFormat="1" applyFont="1" applyFill="1" applyBorder="1" applyAlignment="1" applyProtection="1">
      <alignment horizontal="center" vertical="center"/>
      <protection/>
    </xf>
    <xf numFmtId="0" fontId="32" fillId="0" borderId="38" xfId="0"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2" fillId="0" borderId="40" xfId="0" applyFont="1" applyFill="1" applyBorder="1" applyAlignment="1" applyProtection="1">
      <alignment horizontal="center" vertical="center" wrapText="1"/>
      <protection/>
    </xf>
    <xf numFmtId="0" fontId="32" fillId="0" borderId="46" xfId="0" applyFont="1" applyFill="1" applyBorder="1" applyAlignment="1" applyProtection="1">
      <alignment horizontal="center" vertical="center" wrapText="1"/>
      <protection/>
    </xf>
    <xf numFmtId="0" fontId="32" fillId="0" borderId="33" xfId="0" applyFont="1" applyFill="1" applyBorder="1" applyAlignment="1" applyProtection="1">
      <alignment horizontal="center" vertical="center" wrapText="1"/>
      <protection/>
    </xf>
    <xf numFmtId="0" fontId="32" fillId="0" borderId="48" xfId="0" applyFont="1" applyFill="1" applyBorder="1" applyAlignment="1" applyProtection="1">
      <alignment horizontal="center" vertical="center" wrapText="1"/>
      <protection/>
    </xf>
    <xf numFmtId="9" fontId="30" fillId="0" borderId="13" xfId="59"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9" fontId="30" fillId="0" borderId="126" xfId="59" applyFont="1" applyBorder="1" applyAlignment="1" applyProtection="1">
      <alignment horizontal="center" vertical="center"/>
      <protection locked="0"/>
    </xf>
    <xf numFmtId="0" fontId="7" fillId="0" borderId="118" xfId="0" applyFont="1" applyBorder="1" applyAlignment="1" applyProtection="1">
      <alignment horizontal="center" vertical="center"/>
      <protection locked="0"/>
    </xf>
    <xf numFmtId="9" fontId="30" fillId="0" borderId="127" xfId="59" applyFont="1" applyBorder="1" applyAlignment="1" applyProtection="1">
      <alignment horizontal="center" vertical="center"/>
      <protection locked="0"/>
    </xf>
    <xf numFmtId="0" fontId="7" fillId="0" borderId="128" xfId="0" applyFont="1" applyBorder="1" applyAlignment="1" applyProtection="1">
      <alignment horizontal="center" vertical="center"/>
      <protection locked="0"/>
    </xf>
    <xf numFmtId="0" fontId="34" fillId="0" borderId="110" xfId="0" applyFont="1" applyFill="1" applyBorder="1" applyAlignment="1" applyProtection="1">
      <alignment horizontal="center" vertical="center" wrapText="1"/>
      <protection locked="0"/>
    </xf>
    <xf numFmtId="0" fontId="34" fillId="0" borderId="129" xfId="0" applyFont="1" applyFill="1" applyBorder="1" applyAlignment="1" applyProtection="1">
      <alignment horizontal="center" vertical="center" wrapText="1"/>
      <protection locked="0"/>
    </xf>
    <xf numFmtId="0" fontId="34" fillId="0" borderId="111" xfId="0" applyFont="1" applyFill="1" applyBorder="1" applyAlignment="1" applyProtection="1">
      <alignment horizontal="center" vertical="center" wrapText="1"/>
      <protection locked="0"/>
    </xf>
    <xf numFmtId="9" fontId="16" fillId="0" borderId="23" xfId="59" applyFont="1" applyFill="1" applyBorder="1" applyAlignment="1" applyProtection="1">
      <alignment horizontal="center" vertical="center"/>
      <protection/>
    </xf>
    <xf numFmtId="9" fontId="16" fillId="0" borderId="59" xfId="59" applyFont="1" applyFill="1" applyBorder="1" applyAlignment="1" applyProtection="1">
      <alignment horizontal="center" vertical="center"/>
      <protection/>
    </xf>
    <xf numFmtId="1" fontId="16" fillId="0" borderId="69" xfId="59" applyNumberFormat="1" applyFont="1" applyFill="1" applyBorder="1" applyAlignment="1" applyProtection="1">
      <alignment horizontal="center" vertical="center"/>
      <protection/>
    </xf>
    <xf numFmtId="1" fontId="16" fillId="0" borderId="73" xfId="59" applyNumberFormat="1" applyFont="1" applyFill="1" applyBorder="1" applyAlignment="1" applyProtection="1">
      <alignment horizontal="center" vertical="center"/>
      <protection/>
    </xf>
    <xf numFmtId="0" fontId="24" fillId="0" borderId="130"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protection/>
    </xf>
    <xf numFmtId="0" fontId="24" fillId="0" borderId="131" xfId="0" applyFont="1" applyFill="1" applyBorder="1" applyAlignment="1" applyProtection="1">
      <alignment horizontal="center" vertical="center"/>
      <protection/>
    </xf>
    <xf numFmtId="14" fontId="25" fillId="0" borderId="132" xfId="0" applyNumberFormat="1" applyFont="1" applyFill="1" applyBorder="1" applyAlignment="1" applyProtection="1">
      <alignment horizontal="center" vertical="center"/>
      <protection locked="0"/>
    </xf>
    <xf numFmtId="14" fontId="25" fillId="0" borderId="133" xfId="0" applyNumberFormat="1" applyFont="1" applyFill="1" applyBorder="1" applyAlignment="1" applyProtection="1">
      <alignment horizontal="center" vertical="center"/>
      <protection locked="0"/>
    </xf>
    <xf numFmtId="14" fontId="25" fillId="0" borderId="79" xfId="0" applyNumberFormat="1" applyFont="1" applyFill="1" applyBorder="1" applyAlignment="1" applyProtection="1">
      <alignment horizontal="center" vertical="center"/>
      <protection locked="0"/>
    </xf>
    <xf numFmtId="180" fontId="25" fillId="0" borderId="132" xfId="0" applyNumberFormat="1" applyFont="1" applyFill="1" applyBorder="1" applyAlignment="1" applyProtection="1">
      <alignment horizontal="center" vertical="center"/>
      <protection locked="0"/>
    </xf>
    <xf numFmtId="180" fontId="25" fillId="0" borderId="79" xfId="0" applyNumberFormat="1" applyFont="1" applyFill="1" applyBorder="1" applyAlignment="1" applyProtection="1">
      <alignment horizontal="center" vertical="center"/>
      <protection locked="0"/>
    </xf>
    <xf numFmtId="180" fontId="25" fillId="0" borderId="133" xfId="0" applyNumberFormat="1" applyFont="1" applyFill="1" applyBorder="1" applyAlignment="1" applyProtection="1">
      <alignment horizontal="center" vertical="center"/>
      <protection locked="0"/>
    </xf>
    <xf numFmtId="180" fontId="25" fillId="0" borderId="129" xfId="0" applyNumberFormat="1" applyFont="1" applyFill="1" applyBorder="1" applyAlignment="1" applyProtection="1">
      <alignment horizontal="center" vertical="center"/>
      <protection locked="0"/>
    </xf>
    <xf numFmtId="180" fontId="25" fillId="0" borderId="111" xfId="0" applyNumberFormat="1" applyFont="1" applyFill="1" applyBorder="1" applyAlignment="1" applyProtection="1">
      <alignment horizontal="center" vertical="center"/>
      <protection locked="0"/>
    </xf>
    <xf numFmtId="6" fontId="28" fillId="0" borderId="32" xfId="44" applyNumberFormat="1" applyFont="1" applyFill="1" applyBorder="1" applyAlignment="1" applyProtection="1">
      <alignment horizontal="center" vertical="center"/>
      <protection/>
    </xf>
    <xf numFmtId="6" fontId="28" fillId="0" borderId="33" xfId="44" applyNumberFormat="1" applyFont="1" applyFill="1" applyBorder="1" applyAlignment="1" applyProtection="1">
      <alignment horizontal="center" vertical="center"/>
      <protection/>
    </xf>
    <xf numFmtId="6" fontId="28" fillId="0" borderId="48" xfId="44" applyNumberFormat="1" applyFont="1" applyFill="1" applyBorder="1" applyAlignment="1" applyProtection="1">
      <alignment horizontal="center" vertical="center"/>
      <protection/>
    </xf>
    <xf numFmtId="0" fontId="30" fillId="0" borderId="110" xfId="0" applyFont="1" applyBorder="1" applyAlignment="1" applyProtection="1">
      <alignment horizontal="center" vertical="center"/>
      <protection locked="0"/>
    </xf>
    <xf numFmtId="0" fontId="30" fillId="0" borderId="129" xfId="0" applyFont="1" applyBorder="1" applyAlignment="1" applyProtection="1">
      <alignment horizontal="center" vertical="center"/>
      <protection locked="0"/>
    </xf>
    <xf numFmtId="0" fontId="30" fillId="0" borderId="128" xfId="0" applyFont="1" applyBorder="1" applyAlignment="1" applyProtection="1">
      <alignment horizontal="center" vertical="center"/>
      <protection locked="0"/>
    </xf>
    <xf numFmtId="0" fontId="24" fillId="0" borderId="128"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13" xfId="0" applyFont="1" applyBorder="1" applyAlignment="1" applyProtection="1">
      <alignment horizontal="center" vertical="center"/>
      <protection locked="0"/>
    </xf>
    <xf numFmtId="0" fontId="30" fillId="0" borderId="115" xfId="0" applyFont="1" applyBorder="1" applyAlignment="1" applyProtection="1">
      <alignment horizontal="center" vertical="center"/>
      <protection locked="0"/>
    </xf>
    <xf numFmtId="0" fontId="30" fillId="0" borderId="134" xfId="0" applyFont="1" applyBorder="1" applyAlignment="1" applyProtection="1">
      <alignment horizontal="center" vertical="center"/>
      <protection locked="0"/>
    </xf>
    <xf numFmtId="0" fontId="30" fillId="0" borderId="118"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170" fontId="15" fillId="0" borderId="69" xfId="44" applyNumberFormat="1" applyFont="1" applyFill="1" applyBorder="1" applyAlignment="1" applyProtection="1">
      <alignment horizontal="center" vertical="center"/>
      <protection/>
    </xf>
    <xf numFmtId="170" fontId="15" fillId="0" borderId="70" xfId="44" applyNumberFormat="1" applyFont="1" applyFill="1" applyBorder="1" applyAlignment="1" applyProtection="1">
      <alignment horizontal="center" vertical="center"/>
      <protection/>
    </xf>
    <xf numFmtId="0" fontId="24" fillId="0" borderId="118" xfId="0" applyFont="1" applyBorder="1" applyAlignment="1" applyProtection="1">
      <alignment horizontal="center" vertical="center"/>
      <protection locked="0"/>
    </xf>
    <xf numFmtId="6" fontId="9" fillId="0" borderId="53" xfId="44" applyNumberFormat="1" applyFont="1" applyFill="1" applyBorder="1" applyAlignment="1" applyProtection="1">
      <alignment horizontal="center" vertical="center"/>
      <protection/>
    </xf>
    <xf numFmtId="6" fontId="9" fillId="0" borderId="51" xfId="44" applyNumberFormat="1" applyFont="1" applyFill="1" applyBorder="1" applyAlignment="1" applyProtection="1">
      <alignment horizontal="center" vertical="center"/>
      <protection/>
    </xf>
    <xf numFmtId="6" fontId="9" fillId="0" borderId="70" xfId="44" applyNumberFormat="1" applyFont="1" applyFill="1" applyBorder="1" applyAlignment="1" applyProtection="1">
      <alignment horizontal="center" vertical="center"/>
      <protection/>
    </xf>
    <xf numFmtId="6" fontId="28" fillId="0" borderId="23" xfId="44" applyNumberFormat="1" applyFont="1" applyFill="1" applyBorder="1" applyAlignment="1" applyProtection="1">
      <alignment horizontal="center" vertical="center"/>
      <protection/>
    </xf>
    <xf numFmtId="6" fontId="28" fillId="0" borderId="15" xfId="44" applyNumberFormat="1" applyFont="1" applyFill="1" applyBorder="1" applyAlignment="1" applyProtection="1">
      <alignment horizontal="center" vertical="center"/>
      <protection/>
    </xf>
    <xf numFmtId="6" fontId="28" fillId="0" borderId="59" xfId="44" applyNumberFormat="1" applyFont="1" applyFill="1" applyBorder="1" applyAlignment="1" applyProtection="1">
      <alignment horizontal="center" vertical="center"/>
      <protection/>
    </xf>
    <xf numFmtId="6" fontId="28" fillId="0" borderId="69" xfId="44" applyNumberFormat="1" applyFont="1" applyFill="1" applyBorder="1" applyAlignment="1" applyProtection="1">
      <alignment horizontal="center" vertical="center"/>
      <protection/>
    </xf>
    <xf numFmtId="6" fontId="28" fillId="0" borderId="51" xfId="44" applyNumberFormat="1" applyFont="1" applyFill="1" applyBorder="1" applyAlignment="1" applyProtection="1">
      <alignment horizontal="center" vertical="center"/>
      <protection/>
    </xf>
    <xf numFmtId="6" fontId="28" fillId="0" borderId="73" xfId="44" applyNumberFormat="1"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2" fillId="0" borderId="131" xfId="0" applyFont="1" applyFill="1" applyBorder="1" applyAlignment="1" applyProtection="1">
      <alignment horizontal="center" vertical="center"/>
      <protection/>
    </xf>
    <xf numFmtId="0" fontId="16" fillId="0" borderId="55"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6" fillId="0" borderId="68" xfId="0" applyFont="1" applyFill="1" applyBorder="1" applyAlignment="1" applyProtection="1">
      <alignment horizontal="center" vertical="center"/>
      <protection/>
    </xf>
    <xf numFmtId="0" fontId="29" fillId="0" borderId="135" xfId="42" applyNumberFormat="1" applyFont="1" applyFill="1" applyBorder="1" applyAlignment="1" applyProtection="1">
      <alignment horizontal="center" vertical="center"/>
      <protection locked="0"/>
    </xf>
    <xf numFmtId="0" fontId="0" fillId="0" borderId="136" xfId="0" applyBorder="1" applyAlignment="1" applyProtection="1">
      <alignment vertical="center"/>
      <protection locked="0"/>
    </xf>
    <xf numFmtId="0" fontId="29" fillId="0" borderId="132" xfId="0" applyFont="1" applyFill="1" applyBorder="1" applyAlignment="1" applyProtection="1">
      <alignment horizontal="center" vertical="center"/>
      <protection locked="0"/>
    </xf>
    <xf numFmtId="0" fontId="29" fillId="0" borderId="133" xfId="0" applyFont="1" applyFill="1" applyBorder="1" applyAlignment="1" applyProtection="1">
      <alignment horizontal="center" vertical="center"/>
      <protection locked="0"/>
    </xf>
    <xf numFmtId="0" fontId="29" fillId="0" borderId="137" xfId="0" applyFont="1" applyFill="1" applyBorder="1" applyAlignment="1" applyProtection="1">
      <alignment horizontal="center" vertical="center"/>
      <protection locked="0"/>
    </xf>
    <xf numFmtId="200" fontId="29" fillId="0" borderId="120" xfId="0" applyNumberFormat="1" applyFont="1" applyBorder="1" applyAlignment="1" applyProtection="1">
      <alignment horizontal="center" vertical="center"/>
      <protection locked="0"/>
    </xf>
    <xf numFmtId="200" fontId="29" fillId="0" borderId="121" xfId="0" applyNumberFormat="1" applyFont="1" applyBorder="1" applyAlignment="1" applyProtection="1">
      <alignment horizontal="center" vertical="center"/>
      <protection locked="0"/>
    </xf>
    <xf numFmtId="200" fontId="29" fillId="0" borderId="119" xfId="0" applyNumberFormat="1" applyFont="1" applyBorder="1" applyAlignment="1" applyProtection="1">
      <alignment horizontal="center" vertical="center"/>
      <protection locked="0"/>
    </xf>
    <xf numFmtId="0" fontId="35" fillId="0" borderId="132" xfId="0" applyFont="1" applyBorder="1" applyAlignment="1" applyProtection="1">
      <alignment horizontal="center" vertical="center"/>
      <protection locked="0"/>
    </xf>
    <xf numFmtId="0" fontId="35" fillId="0" borderId="137" xfId="0" applyFont="1" applyBorder="1" applyAlignment="1" applyProtection="1">
      <alignment horizontal="center" vertical="center"/>
      <protection locked="0"/>
    </xf>
    <xf numFmtId="0" fontId="35" fillId="0" borderId="138" xfId="0"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2" fontId="29" fillId="0" borderId="132" xfId="59" applyNumberFormat="1" applyFont="1" applyFill="1" applyBorder="1" applyAlignment="1" applyProtection="1">
      <alignment horizontal="center" vertical="center"/>
      <protection locked="0"/>
    </xf>
    <xf numFmtId="2" fontId="29" fillId="0" borderId="133" xfId="59" applyNumberFormat="1" applyFont="1" applyFill="1" applyBorder="1" applyAlignment="1" applyProtection="1">
      <alignment horizontal="center" vertical="center"/>
      <protection locked="0"/>
    </xf>
    <xf numFmtId="2" fontId="29" fillId="0" borderId="137" xfId="59" applyNumberFormat="1" applyFont="1" applyFill="1" applyBorder="1" applyAlignment="1" applyProtection="1">
      <alignment horizontal="center" vertical="center"/>
      <protection locked="0"/>
    </xf>
    <xf numFmtId="180" fontId="29" fillId="0" borderId="132" xfId="59" applyNumberFormat="1" applyFont="1" applyFill="1" applyBorder="1" applyAlignment="1" applyProtection="1">
      <alignment horizontal="center" vertical="center"/>
      <protection locked="0"/>
    </xf>
    <xf numFmtId="180" fontId="29" fillId="0" borderId="133" xfId="59" applyNumberFormat="1" applyFont="1" applyFill="1" applyBorder="1" applyAlignment="1" applyProtection="1">
      <alignment horizontal="center" vertical="center"/>
      <protection locked="0"/>
    </xf>
    <xf numFmtId="180" fontId="29" fillId="0" borderId="137" xfId="59" applyNumberFormat="1" applyFont="1" applyFill="1" applyBorder="1" applyAlignment="1" applyProtection="1">
      <alignment horizontal="center" vertical="center"/>
      <protection locked="0"/>
    </xf>
    <xf numFmtId="180" fontId="29" fillId="0" borderId="139" xfId="59" applyNumberFormat="1" applyFont="1" applyFill="1" applyBorder="1" applyAlignment="1" applyProtection="1">
      <alignment horizontal="center" vertical="center"/>
      <protection locked="0"/>
    </xf>
    <xf numFmtId="180" fontId="29" fillId="0" borderId="140" xfId="59" applyNumberFormat="1" applyFont="1" applyFill="1" applyBorder="1" applyAlignment="1" applyProtection="1">
      <alignment horizontal="center" vertical="center"/>
      <protection locked="0"/>
    </xf>
    <xf numFmtId="180" fontId="29" fillId="0" borderId="141" xfId="59" applyNumberFormat="1" applyFont="1" applyFill="1" applyBorder="1" applyAlignment="1" applyProtection="1">
      <alignment horizontal="center" vertical="center"/>
      <protection locked="0"/>
    </xf>
    <xf numFmtId="0" fontId="16" fillId="0" borderId="53" xfId="0" applyFont="1" applyFill="1" applyBorder="1" applyAlignment="1" applyProtection="1">
      <alignment horizontal="center" vertical="center"/>
      <protection/>
    </xf>
    <xf numFmtId="0" fontId="16" fillId="0" borderId="51" xfId="0" applyFont="1" applyFill="1" applyBorder="1" applyAlignment="1" applyProtection="1">
      <alignment horizontal="center" vertical="center"/>
      <protection/>
    </xf>
    <xf numFmtId="0" fontId="16" fillId="0" borderId="70" xfId="0" applyFont="1" applyFill="1" applyBorder="1" applyAlignment="1" applyProtection="1">
      <alignment horizontal="center" vertical="center"/>
      <protection/>
    </xf>
    <xf numFmtId="0" fontId="16" fillId="0" borderId="0" xfId="0" applyFont="1" applyAlignment="1" applyProtection="1">
      <alignment horizontal="center" vertical="center"/>
      <protection locked="0"/>
    </xf>
    <xf numFmtId="0" fontId="37" fillId="0" borderId="132" xfId="0" applyFont="1" applyFill="1" applyBorder="1" applyAlignment="1" applyProtection="1">
      <alignment horizontal="center" vertical="center"/>
      <protection locked="0"/>
    </xf>
    <xf numFmtId="0" fontId="37" fillId="0" borderId="133"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68" xfId="0" applyFont="1" applyFill="1" applyBorder="1" applyAlignment="1" applyProtection="1">
      <alignment horizontal="center" vertical="center" wrapText="1"/>
      <protection/>
    </xf>
    <xf numFmtId="14" fontId="37" fillId="0" borderId="132" xfId="0" applyNumberFormat="1" applyFont="1" applyBorder="1" applyAlignment="1" applyProtection="1">
      <alignment horizontal="center" vertical="center"/>
      <protection locked="0"/>
    </xf>
    <xf numFmtId="14" fontId="37" fillId="0" borderId="133" xfId="0" applyNumberFormat="1" applyFont="1" applyBorder="1" applyAlignment="1" applyProtection="1">
      <alignment horizontal="center" vertical="center"/>
      <protection locked="0"/>
    </xf>
    <xf numFmtId="14" fontId="37" fillId="0" borderId="79" xfId="0" applyNumberFormat="1" applyFont="1" applyBorder="1" applyAlignment="1" applyProtection="1">
      <alignment horizontal="center" vertical="center"/>
      <protection locked="0"/>
    </xf>
    <xf numFmtId="0" fontId="16" fillId="0" borderId="34" xfId="0" applyFont="1" applyBorder="1" applyAlignment="1" applyProtection="1">
      <alignment horizontal="left" vertical="center"/>
      <protection/>
    </xf>
    <xf numFmtId="0" fontId="16" fillId="0" borderId="142" xfId="0" applyFont="1" applyBorder="1" applyAlignment="1" applyProtection="1">
      <alignment horizontal="left" vertical="center"/>
      <protection/>
    </xf>
    <xf numFmtId="0" fontId="16" fillId="0" borderId="38" xfId="0" applyFont="1" applyBorder="1" applyAlignment="1" applyProtection="1">
      <alignment horizontal="left" vertical="center"/>
      <protection/>
    </xf>
    <xf numFmtId="0" fontId="16" fillId="0" borderId="114" xfId="0" applyFont="1" applyBorder="1" applyAlignment="1" applyProtection="1">
      <alignment horizontal="left" vertical="center"/>
      <protection/>
    </xf>
    <xf numFmtId="0" fontId="16" fillId="0" borderId="26" xfId="0" applyFont="1" applyBorder="1" applyAlignment="1" applyProtection="1">
      <alignment horizontal="left" vertical="center"/>
      <protection/>
    </xf>
    <xf numFmtId="0" fontId="16" fillId="0" borderId="143" xfId="0" applyFont="1" applyBorder="1" applyAlignment="1" applyProtection="1">
      <alignment horizontal="left" vertical="center"/>
      <protection/>
    </xf>
    <xf numFmtId="0" fontId="16" fillId="0" borderId="10" xfId="0" applyFont="1" applyBorder="1" applyAlignment="1" applyProtection="1">
      <alignment horizontal="left" vertical="center"/>
      <protection/>
    </xf>
    <xf numFmtId="0" fontId="16" fillId="0" borderId="11" xfId="0" applyFont="1" applyBorder="1" applyAlignment="1" applyProtection="1">
      <alignment horizontal="left" vertical="center"/>
      <protection/>
    </xf>
    <xf numFmtId="1" fontId="29" fillId="0" borderId="110" xfId="59" applyNumberFormat="1" applyFont="1" applyFill="1" applyBorder="1" applyAlignment="1" applyProtection="1">
      <alignment horizontal="center" vertical="center"/>
      <protection locked="0"/>
    </xf>
    <xf numFmtId="1" fontId="29" fillId="0" borderId="129" xfId="59" applyNumberFormat="1" applyFont="1" applyFill="1" applyBorder="1" applyAlignment="1" applyProtection="1">
      <alignment horizontal="center" vertical="center"/>
      <protection locked="0"/>
    </xf>
    <xf numFmtId="1" fontId="29" fillId="0" borderId="144" xfId="59" applyNumberFormat="1" applyFont="1" applyFill="1" applyBorder="1" applyAlignment="1" applyProtection="1">
      <alignment horizontal="center" vertical="center"/>
      <protection locked="0"/>
    </xf>
    <xf numFmtId="1" fontId="29" fillId="0" borderId="115" xfId="59" applyNumberFormat="1" applyFont="1" applyFill="1" applyBorder="1" applyAlignment="1" applyProtection="1">
      <alignment horizontal="center" vertical="center"/>
      <protection locked="0"/>
    </xf>
    <xf numFmtId="1" fontId="29" fillId="0" borderId="134" xfId="59" applyNumberFormat="1" applyFont="1" applyFill="1" applyBorder="1" applyAlignment="1" applyProtection="1">
      <alignment horizontal="center" vertical="center"/>
      <protection locked="0"/>
    </xf>
    <xf numFmtId="1" fontId="29" fillId="0" borderId="145" xfId="59" applyNumberFormat="1" applyFont="1" applyFill="1" applyBorder="1" applyAlignment="1" applyProtection="1">
      <alignment horizontal="center" vertical="center"/>
      <protection locked="0"/>
    </xf>
    <xf numFmtId="0" fontId="35" fillId="0" borderId="110" xfId="0" applyFont="1" applyBorder="1" applyAlignment="1" applyProtection="1">
      <alignment horizontal="center" vertical="center" wrapText="1"/>
      <protection locked="0"/>
    </xf>
    <xf numFmtId="0" fontId="35" fillId="0" borderId="144" xfId="0" applyFont="1" applyBorder="1" applyAlignment="1" applyProtection="1">
      <alignment horizontal="center" vertical="center" wrapText="1"/>
      <protection locked="0"/>
    </xf>
    <xf numFmtId="0" fontId="35" fillId="0" borderId="113" xfId="0" applyFont="1" applyBorder="1" applyAlignment="1" applyProtection="1">
      <alignment horizontal="center" vertical="center" wrapText="1"/>
      <protection locked="0"/>
    </xf>
    <xf numFmtId="0" fontId="35" fillId="0" borderId="40" xfId="0" applyFont="1" applyBorder="1" applyAlignment="1" applyProtection="1">
      <alignment horizontal="center" vertical="center" wrapText="1"/>
      <protection locked="0"/>
    </xf>
    <xf numFmtId="200" fontId="24" fillId="0" borderId="31" xfId="0" applyNumberFormat="1" applyFont="1" applyBorder="1" applyAlignment="1" applyProtection="1">
      <alignment horizontal="center" vertical="center" wrapText="1"/>
      <protection/>
    </xf>
    <xf numFmtId="200" fontId="24" fillId="0" borderId="11" xfId="0" applyNumberFormat="1" applyFont="1" applyBorder="1" applyAlignment="1" applyProtection="1">
      <alignment horizontal="center" vertical="center" wrapText="1"/>
      <protection/>
    </xf>
    <xf numFmtId="200" fontId="24" fillId="0" borderId="44" xfId="0" applyNumberFormat="1" applyFont="1" applyBorder="1" applyAlignment="1" applyProtection="1">
      <alignment horizontal="center" vertical="center" wrapText="1"/>
      <protection/>
    </xf>
    <xf numFmtId="0" fontId="29" fillId="0" borderId="146" xfId="42" applyNumberFormat="1" applyFont="1" applyFill="1" applyBorder="1" applyAlignment="1" applyProtection="1">
      <alignment horizontal="center" vertical="center"/>
      <protection locked="0"/>
    </xf>
    <xf numFmtId="0" fontId="0" fillId="0" borderId="73" xfId="0" applyBorder="1" applyAlignment="1" applyProtection="1">
      <alignment vertical="center"/>
      <protection locked="0"/>
    </xf>
    <xf numFmtId="0" fontId="16" fillId="0" borderId="130" xfId="0" applyFont="1" applyBorder="1" applyAlignment="1" applyProtection="1">
      <alignment horizontal="center" vertical="center"/>
      <protection/>
    </xf>
    <xf numFmtId="0" fontId="0" fillId="0" borderId="131" xfId="0" applyBorder="1" applyAlignment="1" applyProtection="1">
      <alignment vertical="center"/>
      <protection/>
    </xf>
    <xf numFmtId="0" fontId="16" fillId="0" borderId="23" xfId="0" applyFont="1" applyBorder="1" applyAlignment="1" applyProtection="1">
      <alignment horizontal="center" vertical="center"/>
      <protection/>
    </xf>
    <xf numFmtId="0" fontId="16" fillId="0" borderId="68" xfId="0" applyFont="1" applyBorder="1" applyAlignment="1" applyProtection="1">
      <alignment horizontal="center" vertical="center"/>
      <protection/>
    </xf>
    <xf numFmtId="0" fontId="16" fillId="0" borderId="146" xfId="0" applyFont="1" applyBorder="1" applyAlignment="1" applyProtection="1">
      <alignment horizontal="center" vertical="center"/>
      <protection/>
    </xf>
    <xf numFmtId="0" fontId="0" fillId="0" borderId="147" xfId="0" applyBorder="1" applyAlignment="1" applyProtection="1">
      <alignment vertical="center"/>
      <protection/>
    </xf>
    <xf numFmtId="1" fontId="16" fillId="0" borderId="23" xfId="42" applyNumberFormat="1" applyFont="1" applyFill="1" applyBorder="1" applyAlignment="1" applyProtection="1">
      <alignment horizontal="center" vertical="center"/>
      <protection/>
    </xf>
    <xf numFmtId="0" fontId="0" fillId="0" borderId="59" xfId="0" applyBorder="1" applyAlignment="1" applyProtection="1">
      <alignment vertical="center"/>
      <protection/>
    </xf>
    <xf numFmtId="200" fontId="24" fillId="0" borderId="13" xfId="0" applyNumberFormat="1" applyFont="1" applyBorder="1" applyAlignment="1" applyProtection="1">
      <alignment horizontal="center" vertical="center" wrapText="1"/>
      <protection/>
    </xf>
    <xf numFmtId="200" fontId="24" fillId="0" borderId="0" xfId="0" applyNumberFormat="1" applyFont="1" applyBorder="1" applyAlignment="1" applyProtection="1">
      <alignment horizontal="center" vertical="center" wrapText="1"/>
      <protection/>
    </xf>
    <xf numFmtId="200" fontId="24" fillId="0" borderId="40" xfId="0" applyNumberFormat="1" applyFont="1" applyBorder="1" applyAlignment="1" applyProtection="1">
      <alignment horizontal="center" vertical="center" wrapText="1"/>
      <protection/>
    </xf>
    <xf numFmtId="200" fontId="24" fillId="0" borderId="12" xfId="0" applyNumberFormat="1" applyFont="1" applyBorder="1" applyAlignment="1" applyProtection="1">
      <alignment horizontal="center" vertical="center" wrapText="1"/>
      <protection/>
    </xf>
    <xf numFmtId="200" fontId="24" fillId="0" borderId="10" xfId="0" applyNumberFormat="1" applyFont="1" applyBorder="1" applyAlignment="1" applyProtection="1">
      <alignment horizontal="center" vertical="center" wrapText="1"/>
      <protection/>
    </xf>
    <xf numFmtId="200" fontId="24" fillId="0" borderId="36" xfId="0" applyNumberFormat="1" applyFont="1" applyBorder="1" applyAlignment="1" applyProtection="1">
      <alignment horizontal="center" vertical="center" wrapText="1"/>
      <protection/>
    </xf>
    <xf numFmtId="0" fontId="24" fillId="0" borderId="37" xfId="0" applyFont="1" applyBorder="1" applyAlignment="1" applyProtection="1">
      <alignment horizontal="center" vertical="center"/>
      <protection/>
    </xf>
    <xf numFmtId="0" fontId="24" fillId="0" borderId="45"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4" fillId="0" borderId="26" xfId="0" applyFont="1" applyBorder="1" applyAlignment="1" applyProtection="1">
      <alignment horizontal="center" vertical="center"/>
      <protection/>
    </xf>
    <xf numFmtId="0" fontId="24" fillId="0" borderId="82" xfId="0" applyFont="1" applyBorder="1" applyAlignment="1" applyProtection="1">
      <alignment horizontal="center" vertical="center"/>
      <protection/>
    </xf>
    <xf numFmtId="0" fontId="29" fillId="0" borderId="132" xfId="42" applyNumberFormat="1" applyFont="1" applyFill="1" applyBorder="1" applyAlignment="1" applyProtection="1">
      <alignment horizontal="center" vertical="center"/>
      <protection locked="0"/>
    </xf>
    <xf numFmtId="0" fontId="0" fillId="0" borderId="137" xfId="0" applyBorder="1" applyAlignment="1" applyProtection="1">
      <alignment vertical="center"/>
      <protection locked="0"/>
    </xf>
    <xf numFmtId="175" fontId="35" fillId="0" borderId="110" xfId="59" applyNumberFormat="1" applyFont="1" applyFill="1" applyBorder="1" applyAlignment="1" applyProtection="1">
      <alignment horizontal="center" vertical="center"/>
      <protection locked="0"/>
    </xf>
    <xf numFmtId="175" fontId="35" fillId="0" borderId="129" xfId="59" applyNumberFormat="1" applyFont="1" applyFill="1" applyBorder="1" applyAlignment="1" applyProtection="1">
      <alignment horizontal="center" vertical="center"/>
      <protection locked="0"/>
    </xf>
    <xf numFmtId="175" fontId="35" fillId="0" borderId="144" xfId="59" applyNumberFormat="1" applyFont="1" applyFill="1" applyBorder="1" applyAlignment="1" applyProtection="1">
      <alignment horizontal="center" vertical="center"/>
      <protection locked="0"/>
    </xf>
    <xf numFmtId="175" fontId="35" fillId="0" borderId="113" xfId="59" applyNumberFormat="1" applyFont="1" applyFill="1" applyBorder="1" applyAlignment="1" applyProtection="1">
      <alignment horizontal="center" vertical="center"/>
      <protection locked="0"/>
    </xf>
    <xf numFmtId="175" fontId="35" fillId="0" borderId="0" xfId="59" applyNumberFormat="1" applyFont="1" applyFill="1" applyBorder="1" applyAlignment="1" applyProtection="1">
      <alignment horizontal="center" vertical="center"/>
      <protection locked="0"/>
    </xf>
    <xf numFmtId="175" fontId="35" fillId="0" borderId="40" xfId="59" applyNumberFormat="1" applyFont="1" applyFill="1" applyBorder="1" applyAlignment="1" applyProtection="1">
      <alignment horizontal="center" vertical="center"/>
      <protection locked="0"/>
    </xf>
    <xf numFmtId="175" fontId="35" fillId="0" borderId="138" xfId="59" applyNumberFormat="1" applyFont="1" applyFill="1" applyBorder="1" applyAlignment="1" applyProtection="1">
      <alignment horizontal="center" vertical="center"/>
      <protection locked="0"/>
    </xf>
    <xf numFmtId="175" fontId="35" fillId="0" borderId="33" xfId="59" applyNumberFormat="1" applyFont="1" applyFill="1" applyBorder="1" applyAlignment="1" applyProtection="1">
      <alignment horizontal="center" vertical="center"/>
      <protection locked="0"/>
    </xf>
    <xf numFmtId="175" fontId="35" fillId="0" borderId="48" xfId="59" applyNumberFormat="1" applyFont="1" applyFill="1" applyBorder="1" applyAlignment="1" applyProtection="1">
      <alignment horizontal="center" vertical="center"/>
      <protection locked="0"/>
    </xf>
    <xf numFmtId="0" fontId="24" fillId="0" borderId="28" xfId="0" applyFont="1" applyBorder="1" applyAlignment="1" applyProtection="1">
      <alignment horizontal="center" vertical="center"/>
      <protection/>
    </xf>
    <xf numFmtId="0" fontId="24" fillId="0" borderId="29" xfId="0" applyFont="1" applyBorder="1" applyAlignment="1" applyProtection="1">
      <alignment horizontal="center" vertical="center"/>
      <protection/>
    </xf>
    <xf numFmtId="0" fontId="24" fillId="0" borderId="148" xfId="0" applyFont="1" applyBorder="1" applyAlignment="1" applyProtection="1">
      <alignment horizontal="center" vertical="center"/>
      <protection/>
    </xf>
    <xf numFmtId="0" fontId="24" fillId="0" borderId="41" xfId="0" applyFont="1" applyBorder="1" applyAlignment="1" applyProtection="1">
      <alignment horizontal="center" vertical="center"/>
      <protection/>
    </xf>
    <xf numFmtId="0" fontId="16" fillId="0" borderId="0" xfId="0" applyFont="1" applyAlignment="1">
      <alignment horizontal="center" vertical="center"/>
    </xf>
    <xf numFmtId="0" fontId="23" fillId="0" borderId="2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8" xfId="0" applyFont="1" applyFill="1" applyBorder="1" applyAlignment="1">
      <alignment horizontal="center" vertical="center" wrapText="1"/>
    </xf>
    <xf numFmtId="14" fontId="38" fillId="0" borderId="13" xfId="0" applyNumberFormat="1" applyFont="1" applyBorder="1" applyAlignment="1">
      <alignment horizontal="center" vertical="center"/>
    </xf>
    <xf numFmtId="14" fontId="38" fillId="0" borderId="0" xfId="0" applyNumberFormat="1" applyFont="1" applyBorder="1" applyAlignment="1">
      <alignment horizontal="center" vertical="center"/>
    </xf>
    <xf numFmtId="0" fontId="16" fillId="0" borderId="2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68"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68" xfId="0" applyFont="1" applyFill="1" applyBorder="1" applyAlignment="1">
      <alignment horizontal="center" vertical="center"/>
    </xf>
    <xf numFmtId="0" fontId="16" fillId="0" borderId="12"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6" fillId="0" borderId="31" xfId="0" applyFont="1" applyFill="1" applyBorder="1" applyAlignment="1" applyProtection="1">
      <alignment horizontal="left" vertical="center" wrapText="1"/>
      <protection/>
    </xf>
    <xf numFmtId="0" fontId="16" fillId="0" borderId="25" xfId="0" applyFont="1" applyFill="1" applyBorder="1" applyAlignment="1" applyProtection="1">
      <alignment horizontal="left" vertical="center" wrapText="1"/>
      <protection/>
    </xf>
    <xf numFmtId="0" fontId="16" fillId="0" borderId="23" xfId="0" applyFont="1" applyFill="1" applyBorder="1" applyAlignment="1" applyProtection="1">
      <alignment horizontal="left" vertical="center"/>
      <protection/>
    </xf>
    <xf numFmtId="0" fontId="16" fillId="0" borderId="15" xfId="0" applyFont="1" applyFill="1" applyBorder="1" applyAlignment="1" applyProtection="1">
      <alignment horizontal="left" vertical="center"/>
      <protection/>
    </xf>
    <xf numFmtId="0" fontId="16" fillId="0" borderId="68" xfId="0" applyFont="1" applyFill="1" applyBorder="1" applyAlignment="1" applyProtection="1">
      <alignment horizontal="left" vertical="center"/>
      <protection/>
    </xf>
    <xf numFmtId="0" fontId="12" fillId="0" borderId="23"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68" xfId="0" applyFont="1" applyFill="1" applyBorder="1" applyAlignment="1" applyProtection="1">
      <alignment horizontal="center" vertical="center"/>
      <protection/>
    </xf>
    <xf numFmtId="9" fontId="22" fillId="0" borderId="37" xfId="59" applyFont="1" applyFill="1" applyBorder="1" applyAlignment="1" applyProtection="1">
      <alignment horizontal="center" vertical="center"/>
      <protection/>
    </xf>
    <xf numFmtId="9" fontId="22" fillId="0" borderId="45" xfId="59" applyFont="1" applyFill="1" applyBorder="1" applyAlignment="1" applyProtection="1">
      <alignment horizontal="center" vertical="center"/>
      <protection/>
    </xf>
    <xf numFmtId="0" fontId="38" fillId="0" borderId="23" xfId="0" applyFont="1" applyFill="1" applyBorder="1" applyAlignment="1" applyProtection="1">
      <alignment horizontal="center" vertical="center"/>
      <protection/>
    </xf>
    <xf numFmtId="0" fontId="38" fillId="0" borderId="15" xfId="0" applyFont="1" applyFill="1" applyBorder="1" applyAlignment="1" applyProtection="1">
      <alignment horizontal="center" vertical="center"/>
      <protection/>
    </xf>
    <xf numFmtId="0" fontId="38" fillId="0" borderId="68" xfId="0" applyFont="1" applyFill="1" applyBorder="1" applyAlignment="1" applyProtection="1">
      <alignment horizontal="center" vertical="center"/>
      <protection/>
    </xf>
    <xf numFmtId="14" fontId="38" fillId="0" borderId="23" xfId="0" applyNumberFormat="1" applyFont="1" applyFill="1" applyBorder="1" applyAlignment="1" applyProtection="1">
      <alignment horizontal="center" vertical="center"/>
      <protection/>
    </xf>
    <xf numFmtId="0" fontId="4" fillId="0" borderId="53" xfId="0" applyFont="1" applyFill="1" applyBorder="1" applyAlignment="1" applyProtection="1">
      <alignment horizontal="center"/>
      <protection/>
    </xf>
    <xf numFmtId="0" fontId="4" fillId="0" borderId="70" xfId="0" applyFont="1" applyFill="1" applyBorder="1" applyAlignment="1" applyProtection="1">
      <alignment horizontal="center"/>
      <protection/>
    </xf>
    <xf numFmtId="6" fontId="4" fillId="0" borderId="45" xfId="44" applyNumberFormat="1" applyFont="1" applyFill="1" applyBorder="1" applyAlignment="1" applyProtection="1">
      <alignment horizontal="center"/>
      <protection/>
    </xf>
    <xf numFmtId="6" fontId="4" fillId="0" borderId="42" xfId="44" applyNumberFormat="1" applyFont="1" applyFill="1" applyBorder="1" applyAlignment="1" applyProtection="1">
      <alignment horizontal="center"/>
      <protection/>
    </xf>
    <xf numFmtId="0" fontId="4" fillId="0" borderId="56" xfId="0" applyFont="1" applyFill="1" applyBorder="1" applyAlignment="1" applyProtection="1">
      <alignment horizontal="center"/>
      <protection/>
    </xf>
    <xf numFmtId="0" fontId="4" fillId="0" borderId="122" xfId="0" applyFont="1" applyFill="1" applyBorder="1" applyAlignment="1" applyProtection="1">
      <alignment horizontal="center"/>
      <protection/>
    </xf>
    <xf numFmtId="0" fontId="0" fillId="0" borderId="55" xfId="0" applyBorder="1" applyAlignment="1" applyProtection="1">
      <alignment horizontal="center"/>
      <protection/>
    </xf>
    <xf numFmtId="0" fontId="0" fillId="0" borderId="68" xfId="0" applyBorder="1" applyAlignment="1" applyProtection="1">
      <alignment horizontal="center"/>
      <protection/>
    </xf>
    <xf numFmtId="0" fontId="4" fillId="0" borderId="55" xfId="0" applyFont="1" applyFill="1" applyBorder="1" applyAlignment="1" applyProtection="1">
      <alignment horizontal="center"/>
      <protection/>
    </xf>
    <xf numFmtId="0" fontId="4" fillId="0" borderId="68" xfId="0" applyFont="1" applyFill="1" applyBorder="1" applyAlignment="1" applyProtection="1">
      <alignment horizontal="center"/>
      <protection/>
    </xf>
    <xf numFmtId="6" fontId="4" fillId="0" borderId="102" xfId="44" applyNumberFormat="1" applyFont="1" applyFill="1" applyBorder="1" applyAlignment="1" applyProtection="1">
      <alignment horizontal="center"/>
      <protection/>
    </xf>
    <xf numFmtId="6" fontId="4" fillId="0" borderId="86" xfId="44" applyNumberFormat="1" applyFont="1" applyFill="1" applyBorder="1" applyAlignment="1" applyProtection="1">
      <alignment horizontal="center"/>
      <protection/>
    </xf>
    <xf numFmtId="6" fontId="4" fillId="0" borderId="27" xfId="44" applyNumberFormat="1" applyFont="1" applyFill="1" applyBorder="1" applyAlignment="1" applyProtection="1">
      <alignment horizontal="center"/>
      <protection/>
    </xf>
    <xf numFmtId="6" fontId="4" fillId="0" borderId="71" xfId="44" applyNumberFormat="1" applyFont="1" applyFill="1" applyBorder="1" applyAlignment="1" applyProtection="1">
      <alignment horizontal="center"/>
      <protection/>
    </xf>
    <xf numFmtId="6" fontId="4" fillId="0" borderId="72" xfId="44" applyNumberFormat="1" applyFont="1" applyFill="1" applyBorder="1" applyAlignment="1" applyProtection="1">
      <alignment horizontal="center"/>
      <protection/>
    </xf>
    <xf numFmtId="6" fontId="4" fillId="0" borderId="104" xfId="44" applyNumberFormat="1" applyFont="1" applyFill="1" applyBorder="1" applyAlignment="1" applyProtection="1">
      <alignment horizontal="center"/>
      <protection/>
    </xf>
    <xf numFmtId="0" fontId="10" fillId="0" borderId="64" xfId="0" applyFont="1" applyBorder="1" applyAlignment="1" applyProtection="1">
      <alignment horizontal="center"/>
      <protection/>
    </xf>
    <xf numFmtId="0" fontId="10" fillId="0" borderId="65" xfId="0" applyFont="1" applyBorder="1" applyAlignment="1" applyProtection="1">
      <alignment horizontal="center"/>
      <protection/>
    </xf>
    <xf numFmtId="0" fontId="10" fillId="0" borderId="74" xfId="0" applyFont="1" applyBorder="1" applyAlignment="1" applyProtection="1">
      <alignment horizontal="center"/>
      <protection/>
    </xf>
    <xf numFmtId="0" fontId="4" fillId="0" borderId="103" xfId="0" applyFont="1" applyBorder="1" applyAlignment="1" applyProtection="1">
      <alignment horizontal="left"/>
      <protection/>
    </xf>
    <xf numFmtId="0" fontId="4" fillId="0" borderId="102" xfId="0" applyFont="1" applyBorder="1" applyAlignment="1" applyProtection="1">
      <alignment horizontal="left"/>
      <protection/>
    </xf>
    <xf numFmtId="9" fontId="4" fillId="0" borderId="102" xfId="59" applyFont="1" applyFill="1" applyBorder="1" applyAlignment="1" applyProtection="1">
      <alignment horizontal="center"/>
      <protection/>
    </xf>
    <xf numFmtId="9" fontId="4" fillId="0" borderId="86" xfId="59" applyFont="1" applyFill="1" applyBorder="1" applyAlignment="1" applyProtection="1">
      <alignment horizontal="center"/>
      <protection/>
    </xf>
    <xf numFmtId="0" fontId="4" fillId="0" borderId="62" xfId="0" applyFont="1" applyBorder="1" applyAlignment="1" applyProtection="1">
      <alignment horizontal="center"/>
      <protection/>
    </xf>
    <xf numFmtId="0" fontId="4" fillId="0" borderId="60" xfId="0" applyFont="1" applyBorder="1" applyAlignment="1" applyProtection="1">
      <alignment horizontal="center"/>
      <protection/>
    </xf>
    <xf numFmtId="0" fontId="4" fillId="0" borderId="61" xfId="0" applyFont="1" applyBorder="1" applyAlignment="1" applyProtection="1">
      <alignment horizontal="center"/>
      <protection/>
    </xf>
    <xf numFmtId="0" fontId="4" fillId="0" borderId="75" xfId="0" applyFont="1" applyBorder="1" applyAlignment="1" applyProtection="1">
      <alignment horizontal="left"/>
      <protection/>
    </xf>
    <xf numFmtId="0" fontId="0" fillId="0" borderId="27" xfId="0" applyBorder="1" applyAlignment="1" applyProtection="1">
      <alignment horizontal="left"/>
      <protection/>
    </xf>
    <xf numFmtId="0" fontId="0" fillId="0" borderId="27" xfId="0" applyBorder="1" applyAlignment="1" applyProtection="1">
      <alignment horizontal="center"/>
      <protection/>
    </xf>
    <xf numFmtId="0" fontId="0" fillId="0" borderId="71" xfId="0" applyBorder="1" applyAlignment="1" applyProtection="1">
      <alignment horizontal="center"/>
      <protection/>
    </xf>
    <xf numFmtId="175" fontId="0" fillId="0" borderId="72" xfId="0" applyNumberFormat="1" applyBorder="1" applyAlignment="1" applyProtection="1">
      <alignment horizontal="center"/>
      <protection/>
    </xf>
    <xf numFmtId="175" fontId="0" fillId="0" borderId="104" xfId="0" applyNumberFormat="1" applyBorder="1" applyAlignment="1" applyProtection="1">
      <alignment horizontal="center"/>
      <protection/>
    </xf>
    <xf numFmtId="0" fontId="0" fillId="0" borderId="76" xfId="0" applyBorder="1" applyAlignment="1" applyProtection="1">
      <alignment/>
      <protection/>
    </xf>
    <xf numFmtId="0" fontId="0" fillId="0" borderId="72" xfId="0" applyBorder="1" applyAlignment="1" applyProtection="1">
      <alignment/>
      <protection/>
    </xf>
    <xf numFmtId="0" fontId="13" fillId="0" borderId="102" xfId="0" applyFont="1" applyFill="1" applyBorder="1" applyAlignment="1" applyProtection="1">
      <alignment horizontal="center" vertical="center" wrapText="1"/>
      <protection/>
    </xf>
    <xf numFmtId="0" fontId="13" fillId="0" borderId="37" xfId="0" applyFont="1" applyFill="1" applyBorder="1" applyAlignment="1" applyProtection="1">
      <alignment horizontal="center" vertical="center" wrapText="1"/>
      <protection/>
    </xf>
    <xf numFmtId="0" fontId="14" fillId="0" borderId="102" xfId="0" applyFont="1" applyFill="1" applyBorder="1" applyAlignment="1" applyProtection="1">
      <alignment horizontal="center" vertical="center" textRotation="90" wrapText="1"/>
      <protection/>
    </xf>
    <xf numFmtId="0" fontId="14" fillId="0" borderId="37" xfId="0" applyFont="1" applyFill="1" applyBorder="1" applyAlignment="1" applyProtection="1">
      <alignment horizontal="center" vertical="center" textRotation="90" wrapText="1"/>
      <protection/>
    </xf>
    <xf numFmtId="0" fontId="9" fillId="0" borderId="100" xfId="0" applyFont="1" applyFill="1" applyBorder="1" applyAlignment="1" applyProtection="1">
      <alignment horizontal="center" vertical="center" textRotation="90" wrapText="1"/>
      <protection/>
    </xf>
    <xf numFmtId="0" fontId="9" fillId="0" borderId="49" xfId="0" applyFont="1" applyFill="1" applyBorder="1" applyAlignment="1" applyProtection="1">
      <alignment horizontal="center" vertical="center" textRotation="90" wrapText="1"/>
      <protection/>
    </xf>
    <xf numFmtId="22" fontId="12" fillId="0" borderId="64" xfId="0" applyNumberFormat="1" applyFont="1" applyFill="1" applyBorder="1" applyAlignment="1" applyProtection="1">
      <alignment horizontal="center"/>
      <protection/>
    </xf>
    <xf numFmtId="22" fontId="12" fillId="0" borderId="65" xfId="0" applyNumberFormat="1" applyFont="1" applyFill="1" applyBorder="1" applyAlignment="1" applyProtection="1">
      <alignment horizontal="center"/>
      <protection/>
    </xf>
    <xf numFmtId="22" fontId="12" fillId="0" borderId="74" xfId="0" applyNumberFormat="1" applyFont="1" applyFill="1" applyBorder="1" applyAlignment="1" applyProtection="1">
      <alignment horizontal="center"/>
      <protection/>
    </xf>
    <xf numFmtId="0" fontId="13" fillId="0" borderId="103"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9" fillId="0" borderId="102" xfId="0" applyFont="1" applyFill="1" applyBorder="1" applyAlignment="1" applyProtection="1">
      <alignment horizontal="center" vertical="center" textRotation="90" wrapText="1"/>
      <protection/>
    </xf>
    <xf numFmtId="0" fontId="9" fillId="0" borderId="37" xfId="0" applyFont="1" applyFill="1" applyBorder="1" applyAlignment="1" applyProtection="1">
      <alignment horizontal="center" vertical="center" textRotation="90" wrapText="1"/>
      <protection/>
    </xf>
    <xf numFmtId="0" fontId="9" fillId="0" borderId="102" xfId="0"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0" fillId="0" borderId="49" xfId="0" applyBorder="1" applyAlignment="1" applyProtection="1">
      <alignment horizontal="center" vertical="center" textRotation="90" wrapText="1"/>
      <protection/>
    </xf>
    <xf numFmtId="22" fontId="19" fillId="0" borderId="60" xfId="0" applyNumberFormat="1" applyFont="1" applyFill="1" applyBorder="1" applyAlignment="1" applyProtection="1">
      <alignment horizontal="center"/>
      <protection/>
    </xf>
    <xf numFmtId="0" fontId="5" fillId="0" borderId="33" xfId="0" applyFont="1" applyFill="1" applyBorder="1" applyAlignment="1" applyProtection="1">
      <alignment horizontal="center"/>
      <protection/>
    </xf>
    <xf numFmtId="22" fontId="19" fillId="0" borderId="64" xfId="0" applyNumberFormat="1" applyFont="1" applyFill="1" applyBorder="1" applyAlignment="1" applyProtection="1">
      <alignment horizontal="center"/>
      <protection/>
    </xf>
    <xf numFmtId="0" fontId="0" fillId="0" borderId="74" xfId="0" applyBorder="1" applyAlignment="1" applyProtection="1">
      <alignment horizontal="center"/>
      <protection/>
    </xf>
    <xf numFmtId="0" fontId="19" fillId="0" borderId="64" xfId="0" applyFont="1" applyFill="1" applyBorder="1" applyAlignment="1" applyProtection="1">
      <alignment horizontal="center"/>
      <protection/>
    </xf>
    <xf numFmtId="0" fontId="0" fillId="0" borderId="65" xfId="0" applyBorder="1" applyAlignment="1" applyProtection="1">
      <alignment horizontal="center"/>
      <protection/>
    </xf>
    <xf numFmtId="0" fontId="13" fillId="0" borderId="86" xfId="0" applyFont="1" applyFill="1" applyBorder="1" applyAlignment="1" applyProtection="1">
      <alignment horizontal="center" vertical="center" wrapText="1"/>
      <protection/>
    </xf>
    <xf numFmtId="0" fontId="13" fillId="0" borderId="35" xfId="0" applyFont="1" applyFill="1" applyBorder="1" applyAlignment="1" applyProtection="1">
      <alignment horizontal="center" vertical="center" wrapText="1"/>
      <protection/>
    </xf>
    <xf numFmtId="0" fontId="5" fillId="0" borderId="64" xfId="0" applyFont="1" applyFill="1" applyBorder="1" applyAlignment="1" applyProtection="1">
      <alignment horizontal="center"/>
      <protection/>
    </xf>
    <xf numFmtId="0" fontId="5" fillId="0" borderId="65" xfId="0" applyFont="1" applyFill="1" applyBorder="1" applyAlignment="1" applyProtection="1">
      <alignment horizontal="center"/>
      <protection/>
    </xf>
    <xf numFmtId="0" fontId="5" fillId="0" borderId="74" xfId="0" applyFont="1" applyFill="1" applyBorder="1" applyAlignment="1" applyProtection="1">
      <alignment horizontal="center"/>
      <protection/>
    </xf>
    <xf numFmtId="181" fontId="0" fillId="0" borderId="67" xfId="42" applyNumberFormat="1" applyFont="1" applyFill="1" applyBorder="1" applyAlignment="1" applyProtection="1">
      <alignment horizontal="center" vertical="center"/>
      <protection/>
    </xf>
    <xf numFmtId="181" fontId="0" fillId="0" borderId="14" xfId="42" applyNumberFormat="1" applyFont="1" applyFill="1" applyBorder="1" applyAlignment="1" applyProtection="1">
      <alignment horizontal="center" vertical="center"/>
      <protection/>
    </xf>
    <xf numFmtId="181" fontId="0" fillId="0" borderId="50" xfId="42" applyNumberFormat="1" applyFont="1" applyFill="1" applyBorder="1" applyAlignment="1" applyProtection="1">
      <alignment horizontal="center" vertical="center"/>
      <protection/>
    </xf>
    <xf numFmtId="182" fontId="0" fillId="0" borderId="100" xfId="0" applyNumberFormat="1" applyFont="1" applyFill="1" applyBorder="1" applyAlignment="1" applyProtection="1">
      <alignment horizontal="center" vertical="center"/>
      <protection/>
    </xf>
    <xf numFmtId="182" fontId="0" fillId="0" borderId="41" xfId="0" applyNumberFormat="1" applyFont="1" applyFill="1" applyBorder="1" applyAlignment="1" applyProtection="1">
      <alignment horizontal="center" vertical="center"/>
      <protection/>
    </xf>
    <xf numFmtId="182" fontId="0" fillId="0" borderId="49" xfId="0" applyNumberFormat="1" applyFont="1" applyFill="1" applyBorder="1" applyAlignment="1" applyProtection="1">
      <alignment horizontal="center" vertical="center"/>
      <protection/>
    </xf>
    <xf numFmtId="0" fontId="14" fillId="0" borderId="99"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0" fontId="14" fillId="0" borderId="30" xfId="0" applyFont="1" applyFill="1" applyBorder="1" applyAlignment="1" applyProtection="1">
      <alignment horizontal="center" vertical="center" wrapText="1"/>
      <protection/>
    </xf>
    <xf numFmtId="0" fontId="97" fillId="35" borderId="102" xfId="0" applyFont="1" applyFill="1" applyBorder="1" applyAlignment="1" applyProtection="1">
      <alignment horizontal="center" vertical="center" wrapText="1"/>
      <protection locked="0"/>
    </xf>
    <xf numFmtId="0" fontId="97" fillId="35" borderId="45" xfId="0" applyFont="1" applyFill="1" applyBorder="1" applyAlignment="1" applyProtection="1">
      <alignment horizontal="center" vertical="center" wrapText="1"/>
      <protection locked="0"/>
    </xf>
    <xf numFmtId="0" fontId="97" fillId="35" borderId="27" xfId="0" applyFont="1" applyFill="1" applyBorder="1" applyAlignment="1" applyProtection="1">
      <alignment horizontal="center" vertical="center" wrapText="1"/>
      <protection locked="0"/>
    </xf>
    <xf numFmtId="0" fontId="97" fillId="35" borderId="37" xfId="0" applyFont="1" applyFill="1" applyBorder="1" applyAlignment="1" applyProtection="1">
      <alignment horizontal="center" vertical="center" wrapText="1"/>
      <protection locked="0"/>
    </xf>
    <xf numFmtId="0" fontId="97" fillId="35" borderId="72"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98" fillId="36" borderId="86" xfId="0" applyFont="1" applyFill="1" applyBorder="1" applyAlignment="1" applyProtection="1">
      <alignment horizontal="center" vertical="center"/>
      <protection locked="0"/>
    </xf>
    <xf numFmtId="0" fontId="98" fillId="36" borderId="42" xfId="0" applyFont="1" applyFill="1" applyBorder="1" applyAlignment="1" applyProtection="1">
      <alignment horizontal="center" vertical="center"/>
      <protection locked="0"/>
    </xf>
    <xf numFmtId="0" fontId="98" fillId="36" borderId="71" xfId="0" applyFont="1" applyFill="1" applyBorder="1" applyAlignment="1" applyProtection="1">
      <alignment horizontal="center" vertical="center"/>
      <protection locked="0"/>
    </xf>
    <xf numFmtId="0" fontId="98" fillId="36" borderId="35" xfId="0" applyFont="1" applyFill="1" applyBorder="1" applyAlignment="1" applyProtection="1">
      <alignment horizontal="center" vertical="center"/>
      <protection locked="0"/>
    </xf>
    <xf numFmtId="0" fontId="98" fillId="36" borderId="104" xfId="0" applyFont="1" applyFill="1" applyBorder="1" applyAlignment="1" applyProtection="1">
      <alignment horizontal="center" vertical="center"/>
      <protection locked="0"/>
    </xf>
    <xf numFmtId="0" fontId="6" fillId="0" borderId="99" xfId="0" applyFont="1" applyFill="1" applyBorder="1" applyAlignment="1" applyProtection="1">
      <alignment horizontal="left" vertical="center" wrapText="1"/>
      <protection/>
    </xf>
    <xf numFmtId="0" fontId="6" fillId="0" borderId="29" xfId="0" applyFont="1" applyFill="1" applyBorder="1" applyAlignment="1" applyProtection="1">
      <alignment horizontal="left" vertical="center" wrapText="1"/>
      <protection/>
    </xf>
    <xf numFmtId="0" fontId="6" fillId="0" borderId="30" xfId="0" applyFont="1" applyFill="1" applyBorder="1" applyAlignment="1" applyProtection="1">
      <alignment horizontal="left" vertical="center" wrapText="1"/>
      <protection/>
    </xf>
    <xf numFmtId="0" fontId="6" fillId="0" borderId="100"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wrapText="1"/>
      <protection/>
    </xf>
    <xf numFmtId="1" fontId="0" fillId="0" borderId="86" xfId="0" applyNumberFormat="1" applyFont="1" applyFill="1" applyBorder="1" applyAlignment="1" applyProtection="1">
      <alignment horizontal="center" vertical="center"/>
      <protection/>
    </xf>
    <xf numFmtId="0" fontId="0" fillId="0" borderId="71" xfId="0" applyNumberFormat="1" applyFont="1" applyFill="1" applyBorder="1" applyAlignment="1" applyProtection="1">
      <alignment horizontal="center" vertical="center"/>
      <protection/>
    </xf>
    <xf numFmtId="0" fontId="0" fillId="0" borderId="104"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177" fontId="0" fillId="0" borderId="68"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0" fontId="0" fillId="0" borderId="6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177" fontId="0" fillId="0" borderId="76" xfId="0" applyNumberFormat="1" applyFont="1" applyFill="1" applyBorder="1" applyAlignment="1" applyProtection="1">
      <alignment horizontal="center" vertical="center"/>
      <protection/>
    </xf>
    <xf numFmtId="177" fontId="99" fillId="36" borderId="149" xfId="0" applyNumberFormat="1" applyFont="1" applyFill="1" applyBorder="1" applyAlignment="1" applyProtection="1">
      <alignment horizontal="center" vertical="center"/>
      <protection locked="0"/>
    </xf>
    <xf numFmtId="177" fontId="99" fillId="36" borderId="23" xfId="0" applyNumberFormat="1" applyFont="1" applyFill="1" applyBorder="1" applyAlignment="1" applyProtection="1">
      <alignment horizontal="center" vertical="center"/>
      <protection locked="0"/>
    </xf>
    <xf numFmtId="177" fontId="99" fillId="36" borderId="69" xfId="0" applyNumberFormat="1" applyFont="1" applyFill="1" applyBorder="1" applyAlignment="1" applyProtection="1">
      <alignment horizontal="center" vertical="center"/>
      <protection locked="0"/>
    </xf>
    <xf numFmtId="0" fontId="15" fillId="0" borderId="85" xfId="0" applyFont="1" applyFill="1" applyBorder="1" applyAlignment="1" applyProtection="1">
      <alignment horizontal="right" vertical="center" wrapText="1"/>
      <protection/>
    </xf>
    <xf numFmtId="0" fontId="15" fillId="0" borderId="105" xfId="0" applyFont="1" applyFill="1" applyBorder="1" applyAlignment="1" applyProtection="1">
      <alignment horizontal="right" vertical="center" wrapText="1"/>
      <protection/>
    </xf>
    <xf numFmtId="1" fontId="0" fillId="0" borderId="66" xfId="0" applyNumberFormat="1"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1" fontId="0" fillId="0" borderId="32" xfId="0" applyNumberFormat="1" applyFont="1" applyFill="1" applyBorder="1" applyAlignment="1" applyProtection="1">
      <alignment horizontal="center" vertical="center"/>
      <protection/>
    </xf>
    <xf numFmtId="175" fontId="0" fillId="0" borderId="94" xfId="59" applyNumberFormat="1" applyFont="1" applyFill="1" applyBorder="1" applyAlignment="1" applyProtection="1">
      <alignment horizontal="center" vertical="center"/>
      <protection/>
    </xf>
    <xf numFmtId="175" fontId="0" fillId="0" borderId="101" xfId="59" applyNumberFormat="1" applyFont="1" applyFill="1" applyBorder="1" applyAlignment="1" applyProtection="1">
      <alignment horizontal="center" vertical="center"/>
      <protection/>
    </xf>
    <xf numFmtId="175" fontId="0" fillId="0" borderId="96" xfId="59" applyNumberFormat="1" applyFont="1" applyFill="1" applyBorder="1" applyAlignment="1" applyProtection="1">
      <alignment horizontal="center" vertical="center"/>
      <protection/>
    </xf>
    <xf numFmtId="1" fontId="0" fillId="0" borderId="94" xfId="0" applyNumberFormat="1" applyFont="1" applyFill="1" applyBorder="1" applyAlignment="1" applyProtection="1">
      <alignment horizontal="center" vertical="center" textRotation="90"/>
      <protection/>
    </xf>
    <xf numFmtId="0" fontId="0" fillId="0" borderId="101" xfId="0" applyFont="1" applyFill="1" applyBorder="1" applyAlignment="1" applyProtection="1">
      <alignment horizontal="center" vertical="center" textRotation="90"/>
      <protection/>
    </xf>
    <xf numFmtId="0" fontId="0" fillId="0" borderId="96" xfId="0" applyFont="1" applyFill="1" applyBorder="1" applyAlignment="1" applyProtection="1">
      <alignment horizontal="center" vertical="center" textRotation="90"/>
      <protection/>
    </xf>
    <xf numFmtId="2" fontId="0" fillId="0" borderId="94" xfId="0" applyNumberFormat="1" applyFont="1" applyFill="1" applyBorder="1" applyAlignment="1" applyProtection="1">
      <alignment horizontal="center" vertical="center" textRotation="90"/>
      <protection/>
    </xf>
    <xf numFmtId="2" fontId="0" fillId="0" borderId="101" xfId="0" applyNumberFormat="1" applyFont="1" applyFill="1" applyBorder="1" applyAlignment="1" applyProtection="1">
      <alignment horizontal="center" vertical="center" textRotation="90"/>
      <protection/>
    </xf>
    <xf numFmtId="2" fontId="0" fillId="0" borderId="96" xfId="0" applyNumberFormat="1" applyFont="1" applyFill="1" applyBorder="1" applyAlignment="1" applyProtection="1">
      <alignment horizontal="center" vertical="center" textRotation="90"/>
      <protection/>
    </xf>
    <xf numFmtId="0" fontId="0" fillId="0" borderId="94" xfId="0" applyNumberFormat="1" applyFont="1" applyFill="1" applyBorder="1" applyAlignment="1" applyProtection="1">
      <alignment horizontal="center" vertical="center"/>
      <protection/>
    </xf>
    <xf numFmtId="0" fontId="0" fillId="0" borderId="101" xfId="0" applyNumberFormat="1" applyBorder="1" applyAlignment="1" applyProtection="1">
      <alignment horizontal="center" vertical="center"/>
      <protection/>
    </xf>
    <xf numFmtId="0" fontId="0" fillId="0" borderId="96" xfId="0" applyNumberFormat="1" applyBorder="1" applyAlignment="1" applyProtection="1">
      <alignment horizontal="center" vertical="center"/>
      <protection/>
    </xf>
    <xf numFmtId="14" fontId="25" fillId="0" borderId="150" xfId="0" applyNumberFormat="1" applyFont="1" applyFill="1" applyBorder="1" applyAlignment="1" applyProtection="1">
      <alignment horizontal="center" vertical="center"/>
      <protection locked="0"/>
    </xf>
    <xf numFmtId="170" fontId="15" fillId="0" borderId="68" xfId="44" applyNumberFormat="1" applyFont="1" applyFill="1" applyBorder="1" applyAlignment="1" applyProtection="1">
      <alignment horizontal="centerContinuous"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16</xdr:col>
      <xdr:colOff>0</xdr:colOff>
      <xdr:row>5</xdr:row>
      <xdr:rowOff>0</xdr:rowOff>
    </xdr:to>
    <xdr:sp>
      <xdr:nvSpPr>
        <xdr:cNvPr id="1" name="Rectangle 1"/>
        <xdr:cNvSpPr>
          <a:spLocks/>
        </xdr:cNvSpPr>
      </xdr:nvSpPr>
      <xdr:spPr>
        <a:xfrm>
          <a:off x="3295650" y="190500"/>
          <a:ext cx="4238625" cy="676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0</xdr:colOff>
      <xdr:row>6</xdr:row>
      <xdr:rowOff>0</xdr:rowOff>
    </xdr:from>
    <xdr:to>
      <xdr:col>21</xdr:col>
      <xdr:colOff>485775</xdr:colOff>
      <xdr:row>8</xdr:row>
      <xdr:rowOff>0</xdr:rowOff>
    </xdr:to>
    <xdr:sp>
      <xdr:nvSpPr>
        <xdr:cNvPr id="2" name="Rectangle 5"/>
        <xdr:cNvSpPr>
          <a:spLocks/>
        </xdr:cNvSpPr>
      </xdr:nvSpPr>
      <xdr:spPr>
        <a:xfrm>
          <a:off x="752475" y="990600"/>
          <a:ext cx="940117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16</xdr:col>
      <xdr:colOff>285750</xdr:colOff>
      <xdr:row>2</xdr:row>
      <xdr:rowOff>76200</xdr:rowOff>
    </xdr:from>
    <xdr:to>
      <xdr:col>21</xdr:col>
      <xdr:colOff>333375</xdr:colOff>
      <xdr:row>5</xdr:row>
      <xdr:rowOff>0</xdr:rowOff>
    </xdr:to>
    <xdr:sp>
      <xdr:nvSpPr>
        <xdr:cNvPr id="3" name="Text Box 6"/>
        <xdr:cNvSpPr txBox="1">
          <a:spLocks noChangeArrowheads="1"/>
        </xdr:cNvSpPr>
      </xdr:nvSpPr>
      <xdr:spPr>
        <a:xfrm>
          <a:off x="7820025" y="266700"/>
          <a:ext cx="2181225" cy="600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oneCellAnchor>
    <xdr:from>
      <xdr:col>27</xdr:col>
      <xdr:colOff>0</xdr:colOff>
      <xdr:row>51</xdr:row>
      <xdr:rowOff>0</xdr:rowOff>
    </xdr:from>
    <xdr:ext cx="4743450" cy="638175"/>
    <xdr:sp>
      <xdr:nvSpPr>
        <xdr:cNvPr id="4" name="TextBox 6"/>
        <xdr:cNvSpPr txBox="1">
          <a:spLocks noChangeArrowheads="1"/>
        </xdr:cNvSpPr>
      </xdr:nvSpPr>
      <xdr:spPr>
        <a:xfrm>
          <a:off x="12239625" y="9334500"/>
          <a:ext cx="474345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_combined=[1-(1-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_1/100)(1-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_2/100)…(1-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_n/100)]∗100</a:t>
          </a:r>
          <a:r>
            <a:rPr lang="en-US" cap="none" sz="1100" b="0" i="0" u="none" baseline="0">
              <a:solidFill>
                <a:srgbClr val="000000"/>
              </a:solidFill>
              <a:latin typeface="+mn-lt"/>
              <a:ea typeface="+mn-lt"/>
              <a:cs typeface="+mn-lt"/>
            </a:rPr>
            <a:t>
</a:t>
          </a:r>
        </a:p>
      </xdr:txBody>
    </xdr:sp>
    <xdr:clientData/>
  </xdr:oneCellAnchor>
  <xdr:oneCellAnchor>
    <xdr:from>
      <xdr:col>4</xdr:col>
      <xdr:colOff>257175</xdr:colOff>
      <xdr:row>54</xdr:row>
      <xdr:rowOff>161925</xdr:rowOff>
    </xdr:from>
    <xdr:ext cx="4762500" cy="638175"/>
    <xdr:sp>
      <xdr:nvSpPr>
        <xdr:cNvPr id="5" name="TextBox 7"/>
        <xdr:cNvSpPr txBox="1">
          <a:spLocks noChangeArrowheads="1"/>
        </xdr:cNvSpPr>
      </xdr:nvSpPr>
      <xdr:spPr>
        <a:xfrm>
          <a:off x="2667000" y="9886950"/>
          <a:ext cx="47625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_combined=[1-(1-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_1/100)(1-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_2/100)…(1-</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CRF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_n/100)]∗100</a:t>
          </a:r>
          <a:r>
            <a:rPr lang="en-US" cap="none" sz="1100" b="0" i="0" u="none" baseline="0">
              <a:solidFill>
                <a:srgbClr val="000000"/>
              </a:solidFill>
              <a:latin typeface="+mn-lt"/>
              <a:ea typeface="+mn-lt"/>
              <a:cs typeface="+mn-lt"/>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xdr:row>
      <xdr:rowOff>0</xdr:rowOff>
    </xdr:from>
    <xdr:to>
      <xdr:col>22</xdr:col>
      <xdr:colOff>438150</xdr:colOff>
      <xdr:row>6</xdr:row>
      <xdr:rowOff>0</xdr:rowOff>
    </xdr:to>
    <xdr:sp>
      <xdr:nvSpPr>
        <xdr:cNvPr id="1" name="Rectangle 1"/>
        <xdr:cNvSpPr>
          <a:spLocks/>
        </xdr:cNvSpPr>
      </xdr:nvSpPr>
      <xdr:spPr>
        <a:xfrm>
          <a:off x="2314575" y="238125"/>
          <a:ext cx="848677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xdr:row>
      <xdr:rowOff>0</xdr:rowOff>
    </xdr:from>
    <xdr:to>
      <xdr:col>30</xdr:col>
      <xdr:colOff>0</xdr:colOff>
      <xdr:row>8</xdr:row>
      <xdr:rowOff>0</xdr:rowOff>
    </xdr:to>
    <xdr:sp>
      <xdr:nvSpPr>
        <xdr:cNvPr id="2" name="Rectangle 2"/>
        <xdr:cNvSpPr>
          <a:spLocks/>
        </xdr:cNvSpPr>
      </xdr:nvSpPr>
      <xdr:spPr>
        <a:xfrm>
          <a:off x="171450" y="1152525"/>
          <a:ext cx="13725525" cy="428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25</xdr:col>
      <xdr:colOff>76200</xdr:colOff>
      <xdr:row>2</xdr:row>
      <xdr:rowOff>123825</xdr:rowOff>
    </xdr:from>
    <xdr:to>
      <xdr:col>29</xdr:col>
      <xdr:colOff>247650</xdr:colOff>
      <xdr:row>5</xdr:row>
      <xdr:rowOff>152400</xdr:rowOff>
    </xdr:to>
    <xdr:sp>
      <xdr:nvSpPr>
        <xdr:cNvPr id="3" name="Text Box 17"/>
        <xdr:cNvSpPr txBox="1">
          <a:spLocks noChangeArrowheads="1"/>
        </xdr:cNvSpPr>
      </xdr:nvSpPr>
      <xdr:spPr>
        <a:xfrm>
          <a:off x="11658600" y="361950"/>
          <a:ext cx="2114550" cy="542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twoCellAnchor>
    <xdr:from>
      <xdr:col>2</xdr:col>
      <xdr:colOff>714375</xdr:colOff>
      <xdr:row>47</xdr:row>
      <xdr:rowOff>114300</xdr:rowOff>
    </xdr:from>
    <xdr:to>
      <xdr:col>27</xdr:col>
      <xdr:colOff>161925</xdr:colOff>
      <xdr:row>50</xdr:row>
      <xdr:rowOff>152400</xdr:rowOff>
    </xdr:to>
    <xdr:sp>
      <xdr:nvSpPr>
        <xdr:cNvPr id="4" name="Text Box 18"/>
        <xdr:cNvSpPr txBox="1">
          <a:spLocks noChangeArrowheads="1"/>
        </xdr:cNvSpPr>
      </xdr:nvSpPr>
      <xdr:spPr>
        <a:xfrm>
          <a:off x="885825" y="8591550"/>
          <a:ext cx="11934825" cy="523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1" u="none" baseline="0">
              <a:solidFill>
                <a:srgbClr val="000000"/>
              </a:solidFill>
              <a:latin typeface="Arial"/>
              <a:ea typeface="Arial"/>
              <a:cs typeface="Arial"/>
            </a:rPr>
            <a:t>* The “Before – Interim” time period extends from the end of the HSIP analysis period to the start of construction.   Only full data years should be used.   Use of partial years will skew results. 
</a:t>
          </a:r>
          <a:r>
            <a:rPr lang="en-US" cap="none" sz="1000" b="1" i="1" u="none" baseline="0">
              <a:solidFill>
                <a:srgbClr val="000000"/>
              </a:solidFill>
              <a:latin typeface="Arial"/>
              <a:ea typeface="Arial"/>
              <a:cs typeface="Arial"/>
            </a:rPr>
            <a:t>Set Trend to</a:t>
          </a:r>
          <a:r>
            <a:rPr lang="en-US" cap="none" sz="1000" b="1" i="1" u="none" baseline="0">
              <a:solidFill>
                <a:srgbClr val="000000"/>
              </a:solidFill>
              <a:latin typeface="Arial"/>
              <a:ea typeface="Arial"/>
              <a:cs typeface="Arial"/>
            </a:rPr>
            <a:t> </a:t>
          </a:r>
          <a:r>
            <a:rPr lang="en-US" cap="none" sz="1000" b="1" i="1" u="none" baseline="0">
              <a:solidFill>
                <a:srgbClr val="000000"/>
              </a:solidFill>
              <a:latin typeface="Calibri"/>
              <a:ea typeface="Calibri"/>
              <a:cs typeface="Calibri"/>
            </a:rPr>
            <a:t>0% </a:t>
          </a:r>
          <a:r>
            <a:rPr lang="en-US" cap="none" sz="1000" b="1" i="1" u="none" baseline="0">
              <a:solidFill>
                <a:srgbClr val="000000"/>
              </a:solidFill>
              <a:latin typeface="Arial"/>
              <a:ea typeface="Arial"/>
              <a:cs typeface="Arial"/>
            </a:rPr>
            <a:t>in the absence of a significant change in area-wide crash rate between the Before/Interim period and the After period.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1</xdr:row>
      <xdr:rowOff>76200</xdr:rowOff>
    </xdr:from>
    <xdr:to>
      <xdr:col>16</xdr:col>
      <xdr:colOff>9525</xdr:colOff>
      <xdr:row>5</xdr:row>
      <xdr:rowOff>228600</xdr:rowOff>
    </xdr:to>
    <xdr:sp>
      <xdr:nvSpPr>
        <xdr:cNvPr id="1" name="Rectangle 1"/>
        <xdr:cNvSpPr>
          <a:spLocks/>
        </xdr:cNvSpPr>
      </xdr:nvSpPr>
      <xdr:spPr>
        <a:xfrm>
          <a:off x="2543175" y="228600"/>
          <a:ext cx="796290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xdr:row>
      <xdr:rowOff>0</xdr:rowOff>
    </xdr:from>
    <xdr:to>
      <xdr:col>19</xdr:col>
      <xdr:colOff>561975</xdr:colOff>
      <xdr:row>8</xdr:row>
      <xdr:rowOff>0</xdr:rowOff>
    </xdr:to>
    <xdr:sp>
      <xdr:nvSpPr>
        <xdr:cNvPr id="2" name="Rectangle 2"/>
        <xdr:cNvSpPr>
          <a:spLocks/>
        </xdr:cNvSpPr>
      </xdr:nvSpPr>
      <xdr:spPr>
        <a:xfrm>
          <a:off x="257175" y="1143000"/>
          <a:ext cx="12420600" cy="657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28575</xdr:colOff>
      <xdr:row>37</xdr:row>
      <xdr:rowOff>0</xdr:rowOff>
    </xdr:from>
    <xdr:to>
      <xdr:col>20</xdr:col>
      <xdr:colOff>352425</xdr:colOff>
      <xdr:row>41</xdr:row>
      <xdr:rowOff>28575</xdr:rowOff>
    </xdr:to>
    <xdr:sp fLocksText="0">
      <xdr:nvSpPr>
        <xdr:cNvPr id="3" name="Text Box 13"/>
        <xdr:cNvSpPr txBox="1">
          <a:spLocks noChangeArrowheads="1"/>
        </xdr:cNvSpPr>
      </xdr:nvSpPr>
      <xdr:spPr>
        <a:xfrm>
          <a:off x="285750" y="7172325"/>
          <a:ext cx="12744450" cy="714375"/>
        </a:xfrm>
        <a:prstGeom prst="rect">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1000" b="1" i="1" u="none" baseline="0">
              <a:solidFill>
                <a:srgbClr val="000000"/>
              </a:solidFill>
              <a:latin typeface="Arial"/>
              <a:ea typeface="Arial"/>
              <a:cs typeface="Arial"/>
            </a:rPr>
            <a:t>Other Factors which may have impacted crash frequency - </a:t>
          </a:r>
          <a:r>
            <a:rPr lang="en-US" cap="none" sz="1000" b="1" i="0" u="none" baseline="0">
              <a:solidFill>
                <a:srgbClr val="FF0000"/>
              </a:solidFill>
              <a:latin typeface="Arial"/>
              <a:ea typeface="Arial"/>
              <a:cs typeface="Arial"/>
            </a:rPr>
            <a:t>(Provide</a:t>
          </a:r>
          <a:r>
            <a:rPr lang="en-US" cap="none" sz="1000" b="1" i="0" u="none" baseline="0">
              <a:solidFill>
                <a:srgbClr val="FF0000"/>
              </a:solidFill>
              <a:latin typeface="Arial"/>
              <a:ea typeface="Arial"/>
              <a:cs typeface="Arial"/>
            </a:rPr>
            <a:t> explanation here</a:t>
          </a:r>
          <a:r>
            <a:rPr lang="en-US" cap="none" sz="1000" b="1" i="0" u="none" baseline="0">
              <a:solidFill>
                <a:srgbClr val="FF0000"/>
              </a:solidFill>
              <a:latin typeface="Arial"/>
              <a:ea typeface="Arial"/>
              <a:cs typeface="Arial"/>
            </a:rPr>
            <a:t> if "After" crashesdeviated significantly from those predicted):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                 </a:t>
          </a:r>
        </a:p>
      </xdr:txBody>
    </xdr:sp>
    <xdr:clientData/>
  </xdr:twoCellAnchor>
  <xdr:twoCellAnchor>
    <xdr:from>
      <xdr:col>17</xdr:col>
      <xdr:colOff>9525</xdr:colOff>
      <xdr:row>3</xdr:row>
      <xdr:rowOff>0</xdr:rowOff>
    </xdr:from>
    <xdr:to>
      <xdr:col>20</xdr:col>
      <xdr:colOff>0</xdr:colOff>
      <xdr:row>5</xdr:row>
      <xdr:rowOff>190500</xdr:rowOff>
    </xdr:to>
    <xdr:sp>
      <xdr:nvSpPr>
        <xdr:cNvPr id="4" name="Text Box 14"/>
        <xdr:cNvSpPr txBox="1">
          <a:spLocks noChangeArrowheads="1"/>
        </xdr:cNvSpPr>
      </xdr:nvSpPr>
      <xdr:spPr>
        <a:xfrm>
          <a:off x="10982325" y="400050"/>
          <a:ext cx="1695450" cy="542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twoCellAnchor editAs="oneCell">
    <xdr:from>
      <xdr:col>26</xdr:col>
      <xdr:colOff>104775</xdr:colOff>
      <xdr:row>1</xdr:row>
      <xdr:rowOff>28575</xdr:rowOff>
    </xdr:from>
    <xdr:to>
      <xdr:col>36</xdr:col>
      <xdr:colOff>723900</xdr:colOff>
      <xdr:row>31</xdr:row>
      <xdr:rowOff>142875</xdr:rowOff>
    </xdr:to>
    <xdr:pic>
      <xdr:nvPicPr>
        <xdr:cNvPr id="5" name="Picture 5"/>
        <xdr:cNvPicPr preferRelativeResize="1">
          <a:picLocks noChangeAspect="1"/>
        </xdr:cNvPicPr>
      </xdr:nvPicPr>
      <xdr:blipFill>
        <a:blip r:embed="rId1"/>
        <a:stretch>
          <a:fillRect/>
        </a:stretch>
      </xdr:blipFill>
      <xdr:spPr>
        <a:xfrm>
          <a:off x="16811625" y="180975"/>
          <a:ext cx="9601200" cy="6162675"/>
        </a:xfrm>
        <a:prstGeom prst="rect">
          <a:avLst/>
        </a:prstGeom>
        <a:noFill/>
        <a:ln w="9525" cmpd="sng">
          <a:noFill/>
        </a:ln>
      </xdr:spPr>
    </xdr:pic>
    <xdr:clientData/>
  </xdr:twoCellAnchor>
  <xdr:twoCellAnchor>
    <xdr:from>
      <xdr:col>26</xdr:col>
      <xdr:colOff>171450</xdr:colOff>
      <xdr:row>40</xdr:row>
      <xdr:rowOff>76200</xdr:rowOff>
    </xdr:from>
    <xdr:to>
      <xdr:col>36</xdr:col>
      <xdr:colOff>676275</xdr:colOff>
      <xdr:row>82</xdr:row>
      <xdr:rowOff>85725</xdr:rowOff>
    </xdr:to>
    <xdr:sp>
      <xdr:nvSpPr>
        <xdr:cNvPr id="6" name="TextBox 6"/>
        <xdr:cNvSpPr txBox="1">
          <a:spLocks noChangeArrowheads="1"/>
        </xdr:cNvSpPr>
      </xdr:nvSpPr>
      <xdr:spPr>
        <a:xfrm>
          <a:off x="16878300" y="7734300"/>
          <a:ext cx="9486900" cy="6848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Test for Statistical Significance</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The Modified Binomial Method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Evaluates the </a:t>
          </a:r>
          <a:r>
            <a:rPr lang="en-US" cap="none" sz="1100" b="0" i="0" u="none" baseline="0">
              <a:solidFill>
                <a:srgbClr val="000000"/>
              </a:solidFill>
              <a:latin typeface="Calibri"/>
              <a:ea typeface="Calibri"/>
              <a:cs typeface="Calibri"/>
            </a:rPr>
            <a:t>Percent Change in Acc/Yr after</a:t>
          </a:r>
          <a:r>
            <a:rPr lang="en-US" cap="none" sz="1100" b="0" i="0" u="none" baseline="0">
              <a:solidFill>
                <a:srgbClr val="000000"/>
              </a:solidFill>
              <a:latin typeface="Calibri"/>
              <a:ea typeface="Calibri"/>
              <a:cs typeface="Calibri"/>
            </a:rPr>
            <a:t> being </a:t>
          </a:r>
          <a:r>
            <a:rPr lang="en-US" cap="none" sz="1100" b="0" i="0" u="none" baseline="0">
              <a:solidFill>
                <a:srgbClr val="000000"/>
              </a:solidFill>
              <a:latin typeface="Calibri"/>
              <a:ea typeface="Calibri"/>
              <a:cs typeface="Calibri"/>
            </a:rPr>
            <a:t>Adjusted for Volume</a:t>
          </a:r>
          <a:r>
            <a:rPr lang="en-US" cap="none" sz="1100" b="0" i="0" u="none" baseline="0">
              <a:solidFill>
                <a:srgbClr val="000000"/>
              </a:solidFill>
              <a:latin typeface="Calibri"/>
              <a:ea typeface="Calibri"/>
              <a:cs typeface="Calibri"/>
            </a:rPr>
            <a:t> (see Post-Eval ARF, column P) </a:t>
          </a:r>
          <a:r>
            <a:rPr lang="en-US" cap="none" sz="1100" b="0" i="0" u="none" baseline="0">
              <a:solidFill>
                <a:srgbClr val="000000"/>
              </a:solidFill>
              <a:latin typeface="Calibri"/>
              <a:ea typeface="Calibri"/>
              <a:cs typeface="Calibri"/>
            </a:rPr>
            <a:t>to determine </a:t>
          </a:r>
          <a:r>
            <a:rPr lang="en-US" cap="none" sz="1100" b="0" i="0" u="none" baseline="0">
              <a:solidFill>
                <a:srgbClr val="000000"/>
              </a:solidFill>
              <a:latin typeface="Calibri"/>
              <a:ea typeface="Calibri"/>
              <a:cs typeface="Calibri"/>
            </a:rPr>
            <a:t>whether an improvement </a:t>
          </a:r>
          <a:r>
            <a:rPr lang="en-US" cap="none" sz="1100" b="0" i="0" u="none" baseline="0">
              <a:solidFill>
                <a:srgbClr val="000000"/>
              </a:solidFill>
              <a:latin typeface="Calibri"/>
              <a:ea typeface="Calibri"/>
              <a:cs typeface="Calibri"/>
            </a:rPr>
            <a:t>produced a </a:t>
          </a:r>
          <a:r>
            <a:rPr lang="en-US" cap="none" sz="1100" b="0" i="0" u="none" baseline="0">
              <a:solidFill>
                <a:srgbClr val="000000"/>
              </a:solidFill>
              <a:latin typeface="Calibri"/>
              <a:ea typeface="Calibri"/>
              <a:cs typeface="Calibri"/>
            </a:rPr>
            <a:t>statistically significant</a:t>
          </a:r>
          <a:r>
            <a:rPr lang="en-US" cap="none" sz="1100" b="0" i="0" u="none" baseline="0">
              <a:solidFill>
                <a:srgbClr val="000000"/>
              </a:solidFill>
              <a:latin typeface="Calibri"/>
              <a:ea typeface="Calibri"/>
              <a:cs typeface="Calibri"/>
            </a:rPr>
            <a:t> change.  The testing uses the</a:t>
          </a:r>
          <a:r>
            <a:rPr lang="en-US" cap="none" sz="1100" b="0" i="0" u="none" baseline="0">
              <a:solidFill>
                <a:srgbClr val="000000"/>
              </a:solidFill>
              <a:latin typeface="Calibri"/>
              <a:ea typeface="Calibri"/>
              <a:cs typeface="Calibri"/>
            </a:rPr>
            <a:t> modified binominal test proposed by Weed (1986) and recommended by Kinney (2009, pg 124-125 "Review of Crash Reduction Factors (CRF) for Use in the Highway Safety Improvement Program Handbook", ADOT/PF Research).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test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uses the following logic and can be seen graphically</a:t>
          </a:r>
          <a:r>
            <a:rPr lang="en-US" cap="none" sz="1100" b="0" i="0" u="none" baseline="0">
              <a:solidFill>
                <a:srgbClr val="000000"/>
              </a:solidFill>
              <a:latin typeface="Calibri"/>
              <a:ea typeface="Calibri"/>
              <a:cs typeface="Calibri"/>
            </a:rPr>
            <a:t> in the chart above: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If the change in accidents is a reduction (fewer annual accidents after treatment than before), then values </a:t>
          </a:r>
          <a:r>
            <a:rPr lang="en-US" cap="none" sz="1100" b="0" i="0" u="sng" baseline="0">
              <a:solidFill>
                <a:srgbClr val="000000"/>
              </a:solidFill>
              <a:latin typeface="Calibri"/>
              <a:ea typeface="Calibri"/>
              <a:cs typeface="Calibri"/>
            </a:rPr>
            <a:t>greater</a:t>
          </a:r>
          <a:r>
            <a:rPr lang="en-US" cap="none" sz="1100" b="0" i="0" u="none" baseline="0">
              <a:solidFill>
                <a:srgbClr val="000000"/>
              </a:solidFill>
              <a:latin typeface="Calibri"/>
              <a:ea typeface="Calibri"/>
              <a:cs typeface="Calibri"/>
            </a:rPr>
            <a:t> than the </a:t>
          </a:r>
          <a:r>
            <a:rPr lang="en-US" cap="none" sz="1100" b="0" i="0" u="sng" baseline="0">
              <a:solidFill>
                <a:srgbClr val="000000"/>
              </a:solidFill>
              <a:latin typeface="Calibri"/>
              <a:ea typeface="Calibri"/>
              <a:cs typeface="Calibri"/>
            </a:rPr>
            <a:t>red</a:t>
          </a:r>
          <a:r>
            <a:rPr lang="en-US" cap="none" sz="1100" b="0" i="0" u="none" baseline="0">
              <a:solidFill>
                <a:srgbClr val="000000"/>
              </a:solidFill>
              <a:latin typeface="Calibri"/>
              <a:ea typeface="Calibri"/>
              <a:cs typeface="Calibri"/>
            </a:rPr>
            <a:t> line are </a:t>
          </a:r>
          <a:r>
            <a:rPr lang="en-US" cap="none" sz="1100" b="0" i="0" u="none" baseline="0">
              <a:solidFill>
                <a:srgbClr val="000000"/>
              </a:solidFill>
              <a:latin typeface="Calibri"/>
              <a:ea typeface="Calibri"/>
              <a:cs typeface="Calibri"/>
            </a:rPr>
            <a:t>statistically </a:t>
          </a:r>
          <a:r>
            <a:rPr lang="en-US" cap="none" sz="1100" b="0" i="0" u="none" baseline="0">
              <a:solidFill>
                <a:srgbClr val="000000"/>
              </a:solidFill>
              <a:latin typeface="Calibri"/>
              <a:ea typeface="Calibri"/>
              <a:cs typeface="Calibri"/>
            </a:rPr>
            <a:t>significant, otherwise</a:t>
          </a:r>
          <a:r>
            <a:rPr lang="en-US" cap="none" sz="1100" b="0" i="0" u="none" baseline="0">
              <a:solidFill>
                <a:srgbClr val="000000"/>
              </a:solidFill>
              <a:latin typeface="Calibri"/>
              <a:ea typeface="Calibri"/>
              <a:cs typeface="Calibri"/>
            </a:rPr>
            <a:t> the change is  not statistically significant.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If the</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change in accidents is an increase (more annual accidents after treatment than before) then values </a:t>
          </a:r>
          <a:r>
            <a:rPr lang="en-US" cap="none" sz="1100" b="0" i="0" u="sng" baseline="0">
              <a:solidFill>
                <a:srgbClr val="000000"/>
              </a:solidFill>
              <a:latin typeface="Calibri"/>
              <a:ea typeface="Calibri"/>
              <a:cs typeface="Calibri"/>
            </a:rPr>
            <a:t>greater</a:t>
          </a:r>
          <a:r>
            <a:rPr lang="en-US" cap="none" sz="1100" b="0" i="0" u="none" baseline="0">
              <a:solidFill>
                <a:srgbClr val="000000"/>
              </a:solidFill>
              <a:latin typeface="Calibri"/>
              <a:ea typeface="Calibri"/>
              <a:cs typeface="Calibri"/>
            </a:rPr>
            <a:t> than the </a:t>
          </a:r>
          <a:r>
            <a:rPr lang="en-US" cap="none" sz="1100" b="0" i="0" u="sng" baseline="0">
              <a:solidFill>
                <a:srgbClr val="000000"/>
              </a:solidFill>
              <a:latin typeface="Calibri"/>
              <a:ea typeface="Calibri"/>
              <a:cs typeface="Calibri"/>
            </a:rPr>
            <a:t>blue</a:t>
          </a:r>
          <a:r>
            <a:rPr lang="en-US" cap="none" sz="1100" b="0" i="0" u="none" baseline="0">
              <a:solidFill>
                <a:srgbClr val="000000"/>
              </a:solidFill>
              <a:latin typeface="Calibri"/>
              <a:ea typeface="Calibri"/>
              <a:cs typeface="Calibri"/>
            </a:rPr>
            <a:t> line are </a:t>
          </a:r>
          <a:r>
            <a:rPr lang="en-US" cap="none" sz="1100" b="0" i="0" u="none" baseline="0">
              <a:solidFill>
                <a:srgbClr val="000000"/>
              </a:solidFill>
              <a:latin typeface="Calibri"/>
              <a:ea typeface="Calibri"/>
              <a:cs typeface="Calibri"/>
            </a:rPr>
            <a:t>statistically </a:t>
          </a:r>
          <a:r>
            <a:rPr lang="en-US" cap="none" sz="1100" b="0" i="0" u="none" baseline="0">
              <a:solidFill>
                <a:srgbClr val="000000"/>
              </a:solidFill>
              <a:latin typeface="Calibri"/>
              <a:ea typeface="Calibri"/>
              <a:cs typeface="Calibri"/>
            </a:rPr>
            <a:t>significant (e.g., rear end crashes are expected to increase at new traffic signal</a:t>
          </a:r>
          <a:r>
            <a:rPr lang="en-US" cap="none" sz="1100" b="0" i="0" u="none" baseline="0">
              <a:solidFill>
                <a:srgbClr val="000000"/>
              </a:solidFill>
              <a:latin typeface="Calibri"/>
              <a:ea typeface="Calibri"/>
              <a:cs typeface="Calibri"/>
            </a:rPr>
            <a:t> installations</a:t>
          </a:r>
          <a:r>
            <a:rPr lang="en-US" cap="none" sz="1100" b="0" i="0" u="none" baseline="0">
              <a:solidFill>
                <a:srgbClr val="000000"/>
              </a:solidFill>
              <a:latin typeface="Calibri"/>
              <a:ea typeface="Calibri"/>
              <a:cs typeface="Calibri"/>
            </a:rPr>
            <a:t>), otherwise the change in</a:t>
          </a:r>
          <a:r>
            <a:rPr lang="en-US" cap="none" sz="1100" b="0" i="0" u="none" baseline="0">
              <a:solidFill>
                <a:srgbClr val="000000"/>
              </a:solidFill>
              <a:latin typeface="Calibri"/>
              <a:ea typeface="Calibri"/>
              <a:cs typeface="Calibri"/>
            </a:rPr>
            <a:t> accidents is not statistically significant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the Modified Binomial</a:t>
          </a:r>
          <a:r>
            <a:rPr lang="en-US" cap="none" sz="1100" b="0" i="0" u="none" baseline="0">
              <a:solidFill>
                <a:srgbClr val="000000"/>
              </a:solidFill>
              <a:latin typeface="Calibri"/>
              <a:ea typeface="Calibri"/>
              <a:cs typeface="Calibri"/>
            </a:rPr>
            <a:t> Test are interpreted with regard to the expected direction of the change and the significance of the change in accident count in accordance with the following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Modified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Binomial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uses the sign of the </a:t>
          </a:r>
          <a:r>
            <a:rPr lang="en-US" cap="none" sz="1100" b="0" i="0" u="none" baseline="0">
              <a:solidFill>
                <a:srgbClr val="000000"/>
              </a:solidFill>
              <a:latin typeface="Calibri"/>
              <a:ea typeface="Calibri"/>
              <a:cs typeface="Calibri"/>
            </a:rPr>
            <a:t>computed value "Adj for Vol" (on Post-Eval ARF worksheet column P) to determine if the result is a decrease or an increase.  
</a:t>
          </a: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Decreases are significant if </a:t>
          </a:r>
          <a:r>
            <a:rPr lang="en-US" cap="none" sz="1100" b="0" i="0" u="none" baseline="0">
              <a:solidFill>
                <a:srgbClr val="000000"/>
              </a:solidFill>
              <a:latin typeface="Calibri"/>
              <a:ea typeface="Calibri"/>
              <a:cs typeface="Calibri"/>
            </a:rPr>
            <a:t>Absolute value of percent change in accidents per year (Adjusted for Volume) is</a:t>
          </a:r>
          <a:r>
            <a:rPr lang="en-US" cap="none" sz="1100" b="0" i="0" u="none" baseline="0">
              <a:solidFill>
                <a:srgbClr val="000000"/>
              </a:solidFill>
              <a:latin typeface="Calibri"/>
              <a:ea typeface="Calibri"/>
              <a:cs typeface="Calibri"/>
            </a:rPr>
            <a:t> greater than = 2.0657*(Absolute Value of percent change in accidents/yr)^(-0.4726), and 
</a:t>
          </a:r>
          <a:r>
            <a:rPr lang="en-US" cap="none" sz="1100" b="0" i="0" u="none" baseline="0">
              <a:solidFill>
                <a:srgbClr val="000000"/>
              </a:solidFill>
              <a:latin typeface="Calibri"/>
              <a:ea typeface="Calibri"/>
              <a:cs typeface="Calibri"/>
            </a:rPr>
            <a:t>b)     Increases are significant if Absolute value of percent change in accidents per year (Adjusted for Volume) is greater than = 3.7137*(Absolute Value of percent change in accidents/yr)^(-0.5743)
</a:t>
          </a:r>
        </a:p>
      </xdr:txBody>
    </xdr:sp>
    <xdr:clientData/>
  </xdr:twoCellAnchor>
  <xdr:twoCellAnchor editAs="oneCell">
    <xdr:from>
      <xdr:col>26</xdr:col>
      <xdr:colOff>952500</xdr:colOff>
      <xdr:row>58</xdr:row>
      <xdr:rowOff>0</xdr:rowOff>
    </xdr:from>
    <xdr:to>
      <xdr:col>31</xdr:col>
      <xdr:colOff>342900</xdr:colOff>
      <xdr:row>72</xdr:row>
      <xdr:rowOff>95250</xdr:rowOff>
    </xdr:to>
    <xdr:pic>
      <xdr:nvPicPr>
        <xdr:cNvPr id="7" name="Picture 538"/>
        <xdr:cNvPicPr preferRelativeResize="1">
          <a:picLocks noChangeAspect="1"/>
        </xdr:cNvPicPr>
      </xdr:nvPicPr>
      <xdr:blipFill>
        <a:blip r:embed="rId2"/>
        <a:srcRect l="2641" r="38305"/>
        <a:stretch>
          <a:fillRect/>
        </a:stretch>
      </xdr:blipFill>
      <xdr:spPr>
        <a:xfrm>
          <a:off x="17659350" y="10610850"/>
          <a:ext cx="4114800" cy="2362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8</xdr:col>
      <xdr:colOff>9525</xdr:colOff>
      <xdr:row>6</xdr:row>
      <xdr:rowOff>0</xdr:rowOff>
    </xdr:to>
    <xdr:sp>
      <xdr:nvSpPr>
        <xdr:cNvPr id="1" name="Rectangle 1"/>
        <xdr:cNvSpPr>
          <a:spLocks/>
        </xdr:cNvSpPr>
      </xdr:nvSpPr>
      <xdr:spPr>
        <a:xfrm>
          <a:off x="1371600" y="238125"/>
          <a:ext cx="490537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104775</xdr:colOff>
      <xdr:row>6</xdr:row>
      <xdr:rowOff>123825</xdr:rowOff>
    </xdr:from>
    <xdr:to>
      <xdr:col>8</xdr:col>
      <xdr:colOff>0</xdr:colOff>
      <xdr:row>6</xdr:row>
      <xdr:rowOff>352425</xdr:rowOff>
    </xdr:to>
    <xdr:sp>
      <xdr:nvSpPr>
        <xdr:cNvPr id="2" name="Text Box 7"/>
        <xdr:cNvSpPr txBox="1">
          <a:spLocks noChangeArrowheads="1"/>
        </xdr:cNvSpPr>
      </xdr:nvSpPr>
      <xdr:spPr>
        <a:xfrm>
          <a:off x="1476375" y="1114425"/>
          <a:ext cx="4791075" cy="2286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FF0000"/>
              </a:solidFill>
              <a:latin typeface="Arial"/>
              <a:ea typeface="Arial"/>
              <a:cs typeface="Arial"/>
            </a:rPr>
            <a:t>Red fields are input fields. </a:t>
          </a:r>
          <a:r>
            <a:rPr lang="en-US" cap="none" sz="1000" b="0" i="0" u="none" baseline="0">
              <a:solidFill>
                <a:srgbClr val="000000"/>
              </a:solidFill>
              <a:latin typeface="Arial"/>
              <a:ea typeface="Arial"/>
              <a:cs typeface="Arial"/>
            </a:rPr>
            <a:t>  Black fields are fixed, computed, or derived. </a:t>
          </a:r>
        </a:p>
      </xdr:txBody>
    </xdr:sp>
    <xdr:clientData/>
  </xdr:twoCellAnchor>
  <xdr:twoCellAnchor>
    <xdr:from>
      <xdr:col>3</xdr:col>
      <xdr:colOff>209550</xdr:colOff>
      <xdr:row>6</xdr:row>
      <xdr:rowOff>428625</xdr:rowOff>
    </xdr:from>
    <xdr:to>
      <xdr:col>7</xdr:col>
      <xdr:colOff>590550</xdr:colOff>
      <xdr:row>6</xdr:row>
      <xdr:rowOff>809625</xdr:rowOff>
    </xdr:to>
    <xdr:sp>
      <xdr:nvSpPr>
        <xdr:cNvPr id="3" name="Text Box 8"/>
        <xdr:cNvSpPr txBox="1">
          <a:spLocks noChangeArrowheads="1"/>
        </xdr:cNvSpPr>
      </xdr:nvSpPr>
      <xdr:spPr>
        <a:xfrm>
          <a:off x="1581150" y="1419225"/>
          <a:ext cx="4524375" cy="3810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Use the same crash costs for both before and after crashes when comparing actual vs predicted B/C and crash reduction.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13</xdr:row>
      <xdr:rowOff>123825</xdr:rowOff>
    </xdr:from>
    <xdr:to>
      <xdr:col>34</xdr:col>
      <xdr:colOff>95250</xdr:colOff>
      <xdr:row>13</xdr:row>
      <xdr:rowOff>723900</xdr:rowOff>
    </xdr:to>
    <xdr:sp>
      <xdr:nvSpPr>
        <xdr:cNvPr id="1" name="Text Box 4"/>
        <xdr:cNvSpPr txBox="1">
          <a:spLocks noChangeArrowheads="1"/>
        </xdr:cNvSpPr>
      </xdr:nvSpPr>
      <xdr:spPr>
        <a:xfrm>
          <a:off x="952500" y="2371725"/>
          <a:ext cx="21869400" cy="600075"/>
        </a:xfrm>
        <a:prstGeom prst="rect">
          <a:avLst/>
        </a:prstGeom>
        <a:solidFill>
          <a:srgbClr val="CCFFFF"/>
        </a:solidFill>
        <a:ln w="9525" cmpd="sng">
          <a:solidFill>
            <a:srgbClr val="000000"/>
          </a:solidFill>
          <a:headEnd type="none"/>
          <a:tailEnd type="none"/>
        </a:ln>
      </xdr:spPr>
      <xdr:txBody>
        <a:bodyPr vertOverflow="clip" wrap="square" lIns="45720" tIns="45720" rIns="45720" bIns="0"/>
        <a:p>
          <a:pPr algn="ctr">
            <a:defRPr/>
          </a:pPr>
          <a:r>
            <a:rPr lang="en-US" cap="none" sz="1400" b="0" i="0" u="none" baseline="0">
              <a:solidFill>
                <a:srgbClr val="000000"/>
              </a:solidFill>
              <a:latin typeface="Arial Black"/>
              <a:ea typeface="Arial Black"/>
              <a:cs typeface="Arial Black"/>
            </a:rPr>
            <a:t>Data to be included in the Actual B/C and Reduction Factor Summary included in the HSIP Annual Report
</a:t>
          </a:r>
          <a:r>
            <a:rPr lang="en-US" cap="none" sz="1200" b="0" i="0" u="none" baseline="0">
              <a:solidFill>
                <a:srgbClr val="000000"/>
              </a:solidFill>
              <a:latin typeface="Arial"/>
              <a:ea typeface="Arial"/>
              <a:cs typeface="Arial"/>
            </a:rPr>
            <a:t>Complete missing (light blue) fields</a:t>
          </a:r>
          <a:r>
            <a:rPr lang="en-US" cap="none" sz="1400" b="1" i="1" u="none" baseline="0">
              <a:solidFill>
                <a:srgbClr val="000000"/>
              </a:solidFill>
              <a:latin typeface="Arial"/>
              <a:ea typeface="Arial"/>
              <a:cs typeface="Arial"/>
            </a:rPr>
            <a:t>
</a:t>
          </a:r>
        </a:p>
      </xdr:txBody>
    </xdr:sp>
    <xdr:clientData/>
  </xdr:twoCellAnchor>
  <xdr:twoCellAnchor>
    <xdr:from>
      <xdr:col>4</xdr:col>
      <xdr:colOff>142875</xdr:colOff>
      <xdr:row>33</xdr:row>
      <xdr:rowOff>142875</xdr:rowOff>
    </xdr:from>
    <xdr:to>
      <xdr:col>9</xdr:col>
      <xdr:colOff>2695575</xdr:colOff>
      <xdr:row>41</xdr:row>
      <xdr:rowOff>0</xdr:rowOff>
    </xdr:to>
    <xdr:sp>
      <xdr:nvSpPr>
        <xdr:cNvPr id="2" name="Text Box 105"/>
        <xdr:cNvSpPr txBox="1">
          <a:spLocks noChangeArrowheads="1"/>
        </xdr:cNvSpPr>
      </xdr:nvSpPr>
      <xdr:spPr>
        <a:xfrm>
          <a:off x="2105025" y="7924800"/>
          <a:ext cx="5953125" cy="1152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Geneva"/>
              <a:ea typeface="Geneva"/>
              <a:cs typeface="Geneva"/>
            </a:rPr>
            <a:t>Fill in light tourquise cells.  Remaining data is pulled from other project worksheets.
</a:t>
          </a:r>
          <a:r>
            <a:rPr lang="en-US" cap="none" sz="1000" b="0" i="0" u="none" baseline="0">
              <a:solidFill>
                <a:srgbClr val="000000"/>
              </a:solidFill>
              <a:latin typeface="Geneva"/>
              <a:ea typeface="Geneva"/>
              <a:cs typeface="Geneva"/>
            </a:rPr>
            <a:t>Actual Cost can be entered in two ways:
</a:t>
          </a:r>
          <a:r>
            <a:rPr lang="en-US" cap="none" sz="1000" b="0" i="0" u="none" baseline="0">
              <a:solidFill>
                <a:srgbClr val="000000"/>
              </a:solidFill>
              <a:latin typeface="Geneva"/>
              <a:ea typeface="Geneva"/>
              <a:cs typeface="Geneva"/>
            </a:rPr>
            <a:t>    1)  knowing total actual cost, enter values calculated in column AK (by proportion of actual cost to predicted cost per measure).
</a:t>
          </a:r>
          <a:r>
            <a:rPr lang="en-US" cap="none" sz="1000" b="0" i="0" u="none" baseline="0">
              <a:solidFill>
                <a:srgbClr val="000000"/>
              </a:solidFill>
              <a:latin typeface="Geneva"/>
              <a:ea typeface="Geneva"/>
              <a:cs typeface="Geneva"/>
            </a:rPr>
            <a:t>    2)  plug in known actual costs for measures.</a:t>
          </a:r>
        </a:p>
      </xdr:txBody>
    </xdr:sp>
    <xdr:clientData/>
  </xdr:twoCellAnchor>
  <xdr:twoCellAnchor>
    <xdr:from>
      <xdr:col>43</xdr:col>
      <xdr:colOff>609600</xdr:colOff>
      <xdr:row>34</xdr:row>
      <xdr:rowOff>66675</xdr:rowOff>
    </xdr:from>
    <xdr:to>
      <xdr:col>48</xdr:col>
      <xdr:colOff>85725</xdr:colOff>
      <xdr:row>39</xdr:row>
      <xdr:rowOff>66675</xdr:rowOff>
    </xdr:to>
    <xdr:sp>
      <xdr:nvSpPr>
        <xdr:cNvPr id="3" name="Text Box 137"/>
        <xdr:cNvSpPr txBox="1">
          <a:spLocks noChangeArrowheads="1"/>
        </xdr:cNvSpPr>
      </xdr:nvSpPr>
      <xdr:spPr>
        <a:xfrm>
          <a:off x="28841700" y="8010525"/>
          <a:ext cx="3962400" cy="80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Geneva"/>
              <a:ea typeface="Geneva"/>
              <a:cs typeface="Geneva"/>
            </a:rPr>
            <a:t>Predicted and Calculated CRF and B/C values, above, are drawn from the Predicted and Post-Eval worksheets.  These values are computed using the Crash Cost basis effective at the time of the analysis.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AM60"/>
  <sheetViews>
    <sheetView showGridLines="0" showZeros="0" tabSelected="1" zoomScale="115" zoomScaleNormal="115" zoomScaleSheetLayoutView="80" zoomScalePageLayoutView="110" workbookViewId="0" topLeftCell="A1">
      <selection activeCell="T44" sqref="T44"/>
    </sheetView>
  </sheetViews>
  <sheetFormatPr defaultColWidth="11.375" defaultRowHeight="12.75"/>
  <cols>
    <col min="1" max="1" width="1.875" style="530" customWidth="1"/>
    <col min="2" max="2" width="0.74609375" style="530" customWidth="1"/>
    <col min="3" max="3" width="7.25390625" style="530" customWidth="1"/>
    <col min="4" max="4" width="21.75390625" style="530" customWidth="1"/>
    <col min="5" max="5" width="5.875" style="530" customWidth="1"/>
    <col min="6" max="6" width="5.75390625" style="530" customWidth="1"/>
    <col min="7" max="7" width="6.125" style="530" customWidth="1"/>
    <col min="8" max="9" width="5.125" style="530" customWidth="1"/>
    <col min="10" max="10" width="5.00390625" style="530" customWidth="1"/>
    <col min="11" max="11" width="6.00390625" style="530" customWidth="1"/>
    <col min="12" max="12" width="4.875" style="530" customWidth="1"/>
    <col min="13" max="13" width="7.00390625" style="530" customWidth="1"/>
    <col min="14" max="14" width="6.00390625" style="530" customWidth="1"/>
    <col min="15" max="15" width="5.375" style="530" customWidth="1"/>
    <col min="16" max="16" width="5.00390625" style="530" customWidth="1"/>
    <col min="17" max="17" width="5.125" style="530" customWidth="1"/>
    <col min="18" max="19" width="5.625" style="530" customWidth="1"/>
    <col min="20" max="20" width="5.25390625" style="530" customWidth="1"/>
    <col min="21" max="22" width="6.375" style="530" customWidth="1"/>
    <col min="23" max="23" width="1.12109375" style="530" customWidth="1"/>
    <col min="24" max="24" width="4.125" style="530" customWidth="1"/>
    <col min="25" max="25" width="6.00390625" style="530" customWidth="1"/>
    <col min="26" max="26" width="12.375" style="530" customWidth="1"/>
    <col min="27" max="27" width="3.75390625" style="530" customWidth="1"/>
    <col min="28" max="28" width="11.375" style="530" customWidth="1"/>
    <col min="29" max="29" width="8.00390625" style="530" bestFit="1" customWidth="1"/>
    <col min="30" max="31" width="12.625" style="530" bestFit="1" customWidth="1"/>
    <col min="32" max="32" width="12.00390625" style="530" bestFit="1" customWidth="1"/>
    <col min="33" max="33" width="11.625" style="530" bestFit="1" customWidth="1"/>
    <col min="34" max="38" width="12.00390625" style="530" bestFit="1" customWidth="1"/>
    <col min="39" max="39" width="11.00390625" style="530" bestFit="1" customWidth="1"/>
    <col min="40" max="16384" width="11.375" style="530" customWidth="1"/>
  </cols>
  <sheetData>
    <row r="1" ht="8.25" customHeight="1"/>
    <row r="2" spans="2:24" ht="6.75" customHeight="1">
      <c r="B2" s="152"/>
      <c r="C2" s="153"/>
      <c r="D2" s="153"/>
      <c r="E2" s="153"/>
      <c r="F2" s="153"/>
      <c r="G2" s="153"/>
      <c r="H2" s="154"/>
      <c r="I2" s="154"/>
      <c r="J2" s="153"/>
      <c r="K2" s="153"/>
      <c r="L2" s="153"/>
      <c r="M2" s="153"/>
      <c r="N2" s="153"/>
      <c r="O2" s="153"/>
      <c r="P2" s="153"/>
      <c r="Q2" s="153"/>
      <c r="R2" s="153"/>
      <c r="S2" s="153"/>
      <c r="T2" s="153"/>
      <c r="U2" s="153"/>
      <c r="V2" s="153"/>
      <c r="W2" s="155"/>
      <c r="X2" s="531"/>
    </row>
    <row r="3" spans="2:24" ht="17.25" customHeight="1">
      <c r="B3" s="156"/>
      <c r="C3" s="118"/>
      <c r="D3" s="118"/>
      <c r="E3" s="118"/>
      <c r="F3" s="118"/>
      <c r="G3" s="27" t="s">
        <v>255</v>
      </c>
      <c r="H3" s="27"/>
      <c r="I3" s="27"/>
      <c r="J3" s="27"/>
      <c r="K3" s="27"/>
      <c r="L3" s="26"/>
      <c r="M3" s="27"/>
      <c r="N3" s="27"/>
      <c r="O3" s="27"/>
      <c r="P3" s="34"/>
      <c r="Q3" s="118"/>
      <c r="R3" s="118"/>
      <c r="S3" s="118"/>
      <c r="T3" s="118"/>
      <c r="U3" s="118"/>
      <c r="V3" s="118"/>
      <c r="W3" s="157"/>
      <c r="X3" s="531"/>
    </row>
    <row r="4" spans="2:24" ht="15.75" customHeight="1">
      <c r="B4" s="156"/>
      <c r="C4" s="118"/>
      <c r="D4" s="118"/>
      <c r="E4" s="118"/>
      <c r="F4" s="118"/>
      <c r="G4" s="30" t="s">
        <v>0</v>
      </c>
      <c r="H4" s="30"/>
      <c r="I4" s="30"/>
      <c r="J4" s="30"/>
      <c r="K4" s="30"/>
      <c r="L4" s="26"/>
      <c r="M4" s="30"/>
      <c r="N4" s="30"/>
      <c r="O4" s="30"/>
      <c r="P4" s="35"/>
      <c r="Q4" s="118"/>
      <c r="R4" s="118"/>
      <c r="S4" s="118"/>
      <c r="T4" s="118"/>
      <c r="U4" s="118"/>
      <c r="V4" s="118"/>
      <c r="W4" s="157"/>
      <c r="X4" s="531"/>
    </row>
    <row r="5" spans="2:24" ht="20.25" customHeight="1">
      <c r="B5" s="156"/>
      <c r="C5" s="118"/>
      <c r="D5" s="118"/>
      <c r="E5" s="118"/>
      <c r="F5" s="118"/>
      <c r="G5" s="226" t="s">
        <v>1</v>
      </c>
      <c r="H5" s="37"/>
      <c r="I5" s="37"/>
      <c r="J5" s="37"/>
      <c r="K5" s="37"/>
      <c r="L5" s="26"/>
      <c r="M5" s="37"/>
      <c r="N5" s="37"/>
      <c r="O5" s="37"/>
      <c r="P5" s="38"/>
      <c r="Q5" s="118"/>
      <c r="R5" s="118"/>
      <c r="S5" s="118"/>
      <c r="T5" s="118"/>
      <c r="U5" s="118"/>
      <c r="V5" s="118"/>
      <c r="W5" s="157"/>
      <c r="X5" s="531"/>
    </row>
    <row r="6" spans="2:24" ht="9.75" customHeight="1" thickBot="1">
      <c r="B6" s="156"/>
      <c r="C6" s="118"/>
      <c r="D6" s="118"/>
      <c r="E6" s="118"/>
      <c r="F6" s="118"/>
      <c r="G6" s="118"/>
      <c r="H6" s="118"/>
      <c r="I6" s="118"/>
      <c r="J6" s="118"/>
      <c r="K6" s="118"/>
      <c r="L6" s="118"/>
      <c r="M6" s="118"/>
      <c r="N6" s="118"/>
      <c r="O6" s="118"/>
      <c r="P6" s="118"/>
      <c r="Q6" s="118"/>
      <c r="R6" s="118"/>
      <c r="S6" s="118"/>
      <c r="T6" s="118"/>
      <c r="U6" s="118"/>
      <c r="V6" s="118"/>
      <c r="W6" s="157"/>
      <c r="X6" s="531"/>
    </row>
    <row r="7" spans="2:39" ht="40.5" customHeight="1">
      <c r="B7" s="156"/>
      <c r="C7" s="157"/>
      <c r="D7" s="23" t="s">
        <v>124</v>
      </c>
      <c r="E7" s="812" t="s">
        <v>234</v>
      </c>
      <c r="F7" s="813"/>
      <c r="G7" s="813"/>
      <c r="H7" s="813"/>
      <c r="I7" s="813"/>
      <c r="J7" s="813"/>
      <c r="K7" s="813"/>
      <c r="L7" s="813"/>
      <c r="M7" s="813"/>
      <c r="N7" s="813"/>
      <c r="O7" s="813"/>
      <c r="P7" s="813"/>
      <c r="Q7" s="813"/>
      <c r="R7" s="813"/>
      <c r="S7" s="813"/>
      <c r="T7" s="813"/>
      <c r="U7" s="813"/>
      <c r="V7" s="814"/>
      <c r="W7" s="157"/>
      <c r="X7" s="531"/>
      <c r="Y7" s="739"/>
      <c r="Z7" s="740"/>
      <c r="AA7" s="740"/>
      <c r="AB7" s="740"/>
      <c r="AC7" s="740"/>
      <c r="AD7" s="740"/>
      <c r="AE7" s="740"/>
      <c r="AF7" s="740"/>
      <c r="AG7" s="741"/>
      <c r="AH7" s="740"/>
      <c r="AI7" s="740"/>
      <c r="AJ7" s="740"/>
      <c r="AK7" s="740"/>
      <c r="AL7" s="740"/>
      <c r="AM7" s="742"/>
    </row>
    <row r="8" spans="2:39" ht="15.75" thickBot="1">
      <c r="B8" s="156"/>
      <c r="C8" s="157"/>
      <c r="D8" s="24" t="s">
        <v>111</v>
      </c>
      <c r="E8" s="825">
        <v>39813</v>
      </c>
      <c r="F8" s="827"/>
      <c r="G8" s="529" t="s">
        <v>110</v>
      </c>
      <c r="H8" s="828">
        <v>41638</v>
      </c>
      <c r="I8" s="828"/>
      <c r="J8" s="828"/>
      <c r="K8" s="829"/>
      <c r="L8" s="819" t="s">
        <v>109</v>
      </c>
      <c r="M8" s="820"/>
      <c r="N8" s="821"/>
      <c r="O8" s="822" t="s">
        <v>130</v>
      </c>
      <c r="P8" s="823"/>
      <c r="Q8" s="823"/>
      <c r="R8" s="824"/>
      <c r="S8" s="1101"/>
      <c r="T8" s="15" t="s">
        <v>128</v>
      </c>
      <c r="U8" s="825">
        <v>43189</v>
      </c>
      <c r="V8" s="826"/>
      <c r="W8" s="157"/>
      <c r="X8" s="531"/>
      <c r="Y8" s="743"/>
      <c r="Z8" s="744"/>
      <c r="AA8" s="744"/>
      <c r="AB8" s="744"/>
      <c r="AC8" s="744"/>
      <c r="AD8" s="744"/>
      <c r="AE8" s="744"/>
      <c r="AF8" s="744"/>
      <c r="AG8" s="744"/>
      <c r="AH8" s="744"/>
      <c r="AI8" s="744"/>
      <c r="AJ8" s="744"/>
      <c r="AK8" s="744"/>
      <c r="AL8" s="744"/>
      <c r="AM8" s="745"/>
    </row>
    <row r="9" spans="2:39" s="533" customFormat="1" ht="9.75" customHeight="1" thickBot="1">
      <c r="B9" s="228"/>
      <c r="C9" s="229"/>
      <c r="D9" s="168"/>
      <c r="E9" s="168"/>
      <c r="F9" s="168"/>
      <c r="G9" s="168"/>
      <c r="H9" s="168"/>
      <c r="I9" s="168"/>
      <c r="J9" s="168"/>
      <c r="K9" s="168"/>
      <c r="L9" s="168"/>
      <c r="M9" s="229"/>
      <c r="N9" s="229"/>
      <c r="O9" s="229"/>
      <c r="P9" s="229"/>
      <c r="Q9" s="229"/>
      <c r="R9" s="229"/>
      <c r="S9" s="229"/>
      <c r="T9" s="229"/>
      <c r="U9" s="229"/>
      <c r="V9" s="229"/>
      <c r="W9" s="230"/>
      <c r="X9" s="534"/>
      <c r="Y9" s="746"/>
      <c r="Z9" s="747"/>
      <c r="AA9" s="747"/>
      <c r="AB9" s="747"/>
      <c r="AC9" s="747"/>
      <c r="AD9" s="747"/>
      <c r="AE9" s="747"/>
      <c r="AF9" s="747" t="s">
        <v>232</v>
      </c>
      <c r="AG9" s="748">
        <v>40482</v>
      </c>
      <c r="AH9" s="748">
        <v>40847</v>
      </c>
      <c r="AI9" s="748">
        <v>41261</v>
      </c>
      <c r="AJ9" s="748">
        <v>41681</v>
      </c>
      <c r="AK9" s="748">
        <v>42455</v>
      </c>
      <c r="AL9" s="748">
        <v>42814</v>
      </c>
      <c r="AM9" s="796"/>
    </row>
    <row r="10" spans="2:39" ht="18.75">
      <c r="B10" s="156"/>
      <c r="C10" s="118"/>
      <c r="D10" s="142" t="s">
        <v>31</v>
      </c>
      <c r="E10" s="164"/>
      <c r="F10" s="165"/>
      <c r="G10" s="231"/>
      <c r="H10" s="232"/>
      <c r="I10" s="559"/>
      <c r="J10" s="168" t="s">
        <v>3</v>
      </c>
      <c r="K10" s="168"/>
      <c r="L10" s="168"/>
      <c r="M10" s="168"/>
      <c r="N10" s="127" t="s">
        <v>237</v>
      </c>
      <c r="O10" s="128"/>
      <c r="P10" s="128"/>
      <c r="Q10" s="128"/>
      <c r="R10" s="128"/>
      <c r="S10" s="128"/>
      <c r="T10" s="272"/>
      <c r="U10" s="272"/>
      <c r="V10" s="187"/>
      <c r="W10" s="157"/>
      <c r="X10" s="531"/>
      <c r="Y10" s="743"/>
      <c r="Z10" s="744"/>
      <c r="AA10" s="744"/>
      <c r="AB10" s="744"/>
      <c r="AC10" s="744">
        <v>2010</v>
      </c>
      <c r="AD10" s="744">
        <v>2011</v>
      </c>
      <c r="AE10" s="744">
        <v>2012</v>
      </c>
      <c r="AF10" s="744">
        <v>2014</v>
      </c>
      <c r="AG10" s="744">
        <v>2015</v>
      </c>
      <c r="AH10" s="744" t="s">
        <v>233</v>
      </c>
      <c r="AI10" s="744" t="s">
        <v>235</v>
      </c>
      <c r="AJ10" s="744" t="s">
        <v>283</v>
      </c>
      <c r="AK10" s="744" t="s">
        <v>285</v>
      </c>
      <c r="AL10" s="744" t="s">
        <v>286</v>
      </c>
      <c r="AM10" s="745" t="s">
        <v>291</v>
      </c>
    </row>
    <row r="11" spans="2:39" ht="15">
      <c r="B11" s="156"/>
      <c r="C11" s="118"/>
      <c r="D11" s="122" t="s">
        <v>4</v>
      </c>
      <c r="E11" s="123"/>
      <c r="F11" s="233"/>
      <c r="G11" s="815">
        <v>0.03</v>
      </c>
      <c r="H11" s="816"/>
      <c r="I11" s="763"/>
      <c r="J11" s="168"/>
      <c r="K11" s="168"/>
      <c r="L11" s="168"/>
      <c r="M11" s="168"/>
      <c r="N11" s="130" t="s">
        <v>238</v>
      </c>
      <c r="O11" s="131"/>
      <c r="P11" s="131"/>
      <c r="Q11" s="131"/>
      <c r="R11" s="794"/>
      <c r="S11" s="131"/>
      <c r="T11" s="795" t="s">
        <v>239</v>
      </c>
      <c r="U11" s="234"/>
      <c r="V11" s="235"/>
      <c r="W11" s="157"/>
      <c r="X11" s="531"/>
      <c r="Y11" s="743"/>
      <c r="Z11" s="744"/>
      <c r="AA11" s="744"/>
      <c r="AB11" s="744"/>
      <c r="AC11" s="744"/>
      <c r="AD11" s="744"/>
      <c r="AE11" s="744"/>
      <c r="AF11" s="744"/>
      <c r="AG11" s="744"/>
      <c r="AH11" s="744"/>
      <c r="AI11" s="744"/>
      <c r="AJ11" s="744"/>
      <c r="AK11" s="744"/>
      <c r="AL11" s="744"/>
      <c r="AM11" s="745"/>
    </row>
    <row r="12" spans="2:39" ht="13.5" thickBot="1">
      <c r="B12" s="156"/>
      <c r="C12" s="118"/>
      <c r="D12" s="125" t="s">
        <v>236</v>
      </c>
      <c r="E12" s="126"/>
      <c r="F12" s="236"/>
      <c r="G12" s="817">
        <f>ROUND((H8-E8)/(365),0)</f>
        <v>5</v>
      </c>
      <c r="H12" s="818"/>
      <c r="I12" s="757"/>
      <c r="J12" s="168"/>
      <c r="K12" s="168"/>
      <c r="L12" s="168"/>
      <c r="M12" s="168"/>
      <c r="N12" s="135" t="s">
        <v>6</v>
      </c>
      <c r="O12" s="136"/>
      <c r="P12" s="136"/>
      <c r="Q12" s="136"/>
      <c r="R12" s="136"/>
      <c r="S12" s="136"/>
      <c r="T12" s="797">
        <f>AM12</f>
        <v>26400</v>
      </c>
      <c r="U12" s="798"/>
      <c r="V12" s="799"/>
      <c r="W12" s="157"/>
      <c r="X12" s="531"/>
      <c r="Y12" s="743"/>
      <c r="Z12" s="754" t="s">
        <v>287</v>
      </c>
      <c r="AA12" s="749"/>
      <c r="AB12" s="749"/>
      <c r="AC12" s="744">
        <v>15400</v>
      </c>
      <c r="AD12" s="744">
        <v>13900</v>
      </c>
      <c r="AE12" s="744">
        <v>13700</v>
      </c>
      <c r="AF12" s="744">
        <v>13900</v>
      </c>
      <c r="AG12" s="744">
        <v>13700</v>
      </c>
      <c r="AH12" s="744">
        <v>20000</v>
      </c>
      <c r="AI12" s="744">
        <v>20000</v>
      </c>
      <c r="AJ12" s="744">
        <v>21600</v>
      </c>
      <c r="AK12" s="744">
        <v>21800</v>
      </c>
      <c r="AL12" s="744">
        <v>22200</v>
      </c>
      <c r="AM12" s="745">
        <v>26400</v>
      </c>
    </row>
    <row r="13" spans="2:39" ht="12.75">
      <c r="B13" s="156"/>
      <c r="C13" s="118"/>
      <c r="D13" s="755"/>
      <c r="E13" s="755"/>
      <c r="F13" s="756"/>
      <c r="G13" s="757"/>
      <c r="H13" s="757"/>
      <c r="I13" s="757"/>
      <c r="J13" s="168"/>
      <c r="K13" s="168"/>
      <c r="L13" s="168"/>
      <c r="M13" s="168"/>
      <c r="N13" s="237" t="s">
        <v>288</v>
      </c>
      <c r="O13" s="148"/>
      <c r="P13" s="148"/>
      <c r="Q13" s="148"/>
      <c r="R13" s="148"/>
      <c r="S13" s="148"/>
      <c r="T13" s="797">
        <f>AM13</f>
        <v>158700</v>
      </c>
      <c r="U13" s="798"/>
      <c r="V13" s="799"/>
      <c r="W13" s="157"/>
      <c r="X13" s="531"/>
      <c r="Y13" s="743"/>
      <c r="Z13" s="754"/>
      <c r="AA13" s="749"/>
      <c r="AB13" s="749"/>
      <c r="AC13" s="744"/>
      <c r="AD13" s="744"/>
      <c r="AE13" s="744"/>
      <c r="AF13" s="744"/>
      <c r="AG13" s="744"/>
      <c r="AH13" s="744"/>
      <c r="AI13" s="744"/>
      <c r="AJ13" s="744"/>
      <c r="AK13" s="744"/>
      <c r="AL13" s="744"/>
      <c r="AM13" s="745">
        <v>158700</v>
      </c>
    </row>
    <row r="14" spans="2:39" ht="12.75">
      <c r="B14" s="156"/>
      <c r="C14" s="118"/>
      <c r="D14" s="168"/>
      <c r="E14" s="168"/>
      <c r="F14" s="168"/>
      <c r="G14" s="168"/>
      <c r="H14" s="168"/>
      <c r="I14" s="168"/>
      <c r="J14" s="168"/>
      <c r="K14" s="168"/>
      <c r="L14" s="168"/>
      <c r="M14" s="168"/>
      <c r="N14" s="237" t="s">
        <v>7</v>
      </c>
      <c r="O14" s="148"/>
      <c r="P14" s="148"/>
      <c r="Q14" s="148"/>
      <c r="R14" s="148"/>
      <c r="S14" s="148"/>
      <c r="T14" s="797">
        <f>AM14</f>
        <v>502000</v>
      </c>
      <c r="U14" s="798"/>
      <c r="V14" s="799"/>
      <c r="W14" s="157"/>
      <c r="X14" s="531"/>
      <c r="Y14" s="743"/>
      <c r="Z14" s="744"/>
      <c r="AA14" s="744"/>
      <c r="AB14" s="744"/>
      <c r="AC14" s="744">
        <v>154000</v>
      </c>
      <c r="AD14" s="744">
        <v>139000</v>
      </c>
      <c r="AE14" s="744">
        <v>137000</v>
      </c>
      <c r="AF14" s="744">
        <v>139000</v>
      </c>
      <c r="AG14" s="744">
        <v>137000</v>
      </c>
      <c r="AH14" s="744">
        <v>200000</v>
      </c>
      <c r="AI14" s="744">
        <v>200000</v>
      </c>
      <c r="AJ14" s="744">
        <v>216000</v>
      </c>
      <c r="AK14" s="744">
        <v>218000</v>
      </c>
      <c r="AL14" s="744">
        <v>222000</v>
      </c>
      <c r="AM14" s="745">
        <v>502000</v>
      </c>
    </row>
    <row r="15" spans="2:39" ht="12.75">
      <c r="B15" s="156"/>
      <c r="C15" s="118"/>
      <c r="D15" s="168"/>
      <c r="E15" s="168"/>
      <c r="F15" s="168"/>
      <c r="G15" s="168"/>
      <c r="H15" s="168"/>
      <c r="I15" s="168"/>
      <c r="J15" s="168"/>
      <c r="K15" s="168"/>
      <c r="L15" s="168"/>
      <c r="M15" s="168"/>
      <c r="N15" s="237" t="s">
        <v>240</v>
      </c>
      <c r="O15" s="148"/>
      <c r="P15" s="148"/>
      <c r="Q15" s="148"/>
      <c r="R15" s="148"/>
      <c r="S15" s="148"/>
      <c r="T15" s="797">
        <f>AM15</f>
        <v>1322000</v>
      </c>
      <c r="U15" s="798"/>
      <c r="V15" s="799"/>
      <c r="W15" s="157"/>
      <c r="X15" s="531"/>
      <c r="Y15" s="743"/>
      <c r="Z15" s="744"/>
      <c r="AA15" s="744"/>
      <c r="AB15" s="744"/>
      <c r="AC15" s="744">
        <v>771000</v>
      </c>
      <c r="AD15" s="744">
        <v>696000</v>
      </c>
      <c r="AE15" s="744">
        <v>687000</v>
      </c>
      <c r="AF15" s="744">
        <v>697000</v>
      </c>
      <c r="AG15" s="744">
        <v>685000</v>
      </c>
      <c r="AH15" s="744">
        <v>1000000</v>
      </c>
      <c r="AI15" s="744">
        <v>1001000</v>
      </c>
      <c r="AJ15" s="744">
        <v>1080000</v>
      </c>
      <c r="AK15" s="744">
        <v>1091000</v>
      </c>
      <c r="AL15" s="744">
        <v>1112000</v>
      </c>
      <c r="AM15" s="745">
        <v>1322000</v>
      </c>
    </row>
    <row r="16" spans="2:39" ht="13.5" thickBot="1">
      <c r="B16" s="156"/>
      <c r="C16" s="118"/>
      <c r="D16" s="118"/>
      <c r="E16" s="118"/>
      <c r="F16" s="118"/>
      <c r="G16" s="118"/>
      <c r="H16" s="118"/>
      <c r="I16" s="118"/>
      <c r="J16" s="168"/>
      <c r="K16" s="168"/>
      <c r="L16" s="168"/>
      <c r="M16" s="168"/>
      <c r="N16" s="139" t="s">
        <v>8</v>
      </c>
      <c r="O16" s="140"/>
      <c r="P16" s="140"/>
      <c r="Q16" s="140"/>
      <c r="R16" s="140"/>
      <c r="S16" s="140"/>
      <c r="T16" s="830">
        <f>AM16</f>
        <v>2645000</v>
      </c>
      <c r="U16" s="831"/>
      <c r="V16" s="832"/>
      <c r="W16" s="157"/>
      <c r="X16" s="531"/>
      <c r="Y16" s="743"/>
      <c r="Z16" s="744"/>
      <c r="AA16" s="744"/>
      <c r="AB16" s="744"/>
      <c r="AC16" s="744">
        <v>1542000</v>
      </c>
      <c r="AD16" s="744">
        <v>1392000</v>
      </c>
      <c r="AE16" s="744">
        <v>1374000</v>
      </c>
      <c r="AF16" s="744">
        <v>1393000</v>
      </c>
      <c r="AG16" s="744">
        <v>1370000</v>
      </c>
      <c r="AH16" s="744">
        <v>2001000</v>
      </c>
      <c r="AI16" s="744">
        <v>2003000</v>
      </c>
      <c r="AJ16" s="744">
        <v>2159000</v>
      </c>
      <c r="AK16" s="744">
        <v>2183000</v>
      </c>
      <c r="AL16" s="744">
        <v>2224000</v>
      </c>
      <c r="AM16" s="745">
        <v>2645000</v>
      </c>
    </row>
    <row r="17" spans="2:39" ht="9.75" customHeight="1" thickBot="1">
      <c r="B17" s="156"/>
      <c r="C17" s="118"/>
      <c r="D17" s="168"/>
      <c r="E17" s="168"/>
      <c r="F17" s="118"/>
      <c r="G17" s="168"/>
      <c r="H17" s="168"/>
      <c r="I17" s="168"/>
      <c r="J17" s="118"/>
      <c r="K17" s="118"/>
      <c r="L17" s="238"/>
      <c r="M17" s="118"/>
      <c r="N17" s="118"/>
      <c r="O17" s="118"/>
      <c r="P17" s="118"/>
      <c r="Q17" s="118"/>
      <c r="R17" s="118"/>
      <c r="S17" s="118"/>
      <c r="T17" s="118"/>
      <c r="U17" s="118"/>
      <c r="V17" s="118"/>
      <c r="W17" s="157"/>
      <c r="X17" s="531"/>
      <c r="Y17" s="743"/>
      <c r="Z17" s="750"/>
      <c r="AA17" s="744"/>
      <c r="AB17" s="744"/>
      <c r="AC17" s="744"/>
      <c r="AD17" s="744"/>
      <c r="AE17" s="744"/>
      <c r="AF17" s="744"/>
      <c r="AG17" s="744"/>
      <c r="AH17" s="744"/>
      <c r="AI17" s="744"/>
      <c r="AJ17" s="744"/>
      <c r="AK17" s="744"/>
      <c r="AL17" s="744"/>
      <c r="AM17" s="745"/>
    </row>
    <row r="18" spans="2:39" ht="19.5" thickBot="1">
      <c r="B18" s="156"/>
      <c r="C18" s="127" t="s">
        <v>241</v>
      </c>
      <c r="D18" s="128"/>
      <c r="E18" s="128"/>
      <c r="F18" s="128"/>
      <c r="G18" s="128"/>
      <c r="H18" s="128"/>
      <c r="I18" s="128"/>
      <c r="J18" s="128"/>
      <c r="K18" s="128"/>
      <c r="L18" s="128"/>
      <c r="M18" s="128"/>
      <c r="N18" s="128"/>
      <c r="O18" s="128"/>
      <c r="P18" s="128"/>
      <c r="Q18" s="128"/>
      <c r="R18" s="128"/>
      <c r="S18" s="128"/>
      <c r="T18" s="128"/>
      <c r="U18" s="128"/>
      <c r="V18" s="129"/>
      <c r="W18" s="157"/>
      <c r="Y18" s="751"/>
      <c r="Z18" s="752"/>
      <c r="AA18" s="753"/>
      <c r="AB18" s="753"/>
      <c r="AC18" s="753"/>
      <c r="AD18" s="792">
        <f aca="true" t="shared" si="0" ref="AD18:AJ18">(SUM(AD12:AD16)-SUM(AC12:AC16))/SUM(AC12:AC16)</f>
        <v>-0.09728488559458588</v>
      </c>
      <c r="AE18" s="792">
        <f t="shared" si="0"/>
        <v>-0.01303047882547191</v>
      </c>
      <c r="AF18" s="792">
        <f t="shared" si="0"/>
        <v>0.01410679567753312</v>
      </c>
      <c r="AG18" s="792">
        <f t="shared" si="0"/>
        <v>-0.016585670337509476</v>
      </c>
      <c r="AH18" s="792">
        <f t="shared" si="0"/>
        <v>0.4603073854105273</v>
      </c>
      <c r="AI18" s="792">
        <f t="shared" si="0"/>
        <v>0.0009313877677739833</v>
      </c>
      <c r="AJ18" s="792">
        <f t="shared" si="0"/>
        <v>0.07834987593052109</v>
      </c>
      <c r="AK18" s="792">
        <f>(SUM(AK12:AK16)-SUM(AJ12:AJ16))/SUM(AJ12:AJ16)</f>
        <v>0.010700109302191797</v>
      </c>
      <c r="AL18" s="792">
        <f>(SUM(AL12:AL16)-SUM(AK12:AK16))/SUM(AK12:AK16)</f>
        <v>0.018896920712618816</v>
      </c>
      <c r="AM18" s="793">
        <f>(SUM(AM12:AM16)-SUM(AL12:AL16))/SUM(AL12:AL16)</f>
        <v>0.29995530975923135</v>
      </c>
    </row>
    <row r="19" spans="2:31" ht="12.75">
      <c r="B19" s="156"/>
      <c r="C19" s="239" t="s">
        <v>186</v>
      </c>
      <c r="D19" s="240" t="s">
        <v>13</v>
      </c>
      <c r="E19" s="241" t="s">
        <v>242</v>
      </c>
      <c r="F19" s="242"/>
      <c r="G19" s="242"/>
      <c r="H19" s="242"/>
      <c r="I19" s="242"/>
      <c r="J19" s="242"/>
      <c r="K19" s="242"/>
      <c r="L19" s="242"/>
      <c r="M19" s="242"/>
      <c r="N19" s="242"/>
      <c r="O19" s="243"/>
      <c r="P19" s="241" t="s">
        <v>36</v>
      </c>
      <c r="Q19" s="243"/>
      <c r="R19" s="241" t="s">
        <v>243</v>
      </c>
      <c r="S19" s="242"/>
      <c r="T19" s="28"/>
      <c r="U19" s="28"/>
      <c r="V19" s="179"/>
      <c r="W19" s="157"/>
      <c r="Z19" s="535"/>
      <c r="AB19" s="531"/>
      <c r="AC19" s="531"/>
      <c r="AD19" s="531"/>
      <c r="AE19" s="531"/>
    </row>
    <row r="20" spans="2:31" ht="12.75">
      <c r="B20" s="156"/>
      <c r="C20" s="244" t="s">
        <v>188</v>
      </c>
      <c r="D20" s="245"/>
      <c r="E20" s="196" t="s">
        <v>38</v>
      </c>
      <c r="F20" s="197"/>
      <c r="G20" s="197"/>
      <c r="H20" s="197"/>
      <c r="I20" s="197"/>
      <c r="J20" s="197"/>
      <c r="K20" s="197"/>
      <c r="L20" s="197"/>
      <c r="M20" s="197"/>
      <c r="N20" s="197"/>
      <c r="O20" s="246"/>
      <c r="P20" s="196" t="s">
        <v>25</v>
      </c>
      <c r="Q20" s="246"/>
      <c r="R20" s="247" t="s">
        <v>41</v>
      </c>
      <c r="S20" s="758"/>
      <c r="T20" s="36"/>
      <c r="U20" s="36"/>
      <c r="V20" s="248"/>
      <c r="W20" s="157"/>
      <c r="AB20" s="536"/>
      <c r="AC20" s="536"/>
      <c r="AD20" s="536"/>
      <c r="AE20" s="536"/>
    </row>
    <row r="21" spans="2:31" ht="12.75">
      <c r="B21" s="156"/>
      <c r="C21" s="249" t="s">
        <v>187</v>
      </c>
      <c r="D21" s="250"/>
      <c r="E21" s="196" t="s">
        <v>40</v>
      </c>
      <c r="F21" s="197"/>
      <c r="G21" s="197"/>
      <c r="H21" s="197"/>
      <c r="I21" s="197"/>
      <c r="J21" s="197"/>
      <c r="K21" s="197"/>
      <c r="L21" s="197"/>
      <c r="M21" s="197"/>
      <c r="N21" s="197"/>
      <c r="O21" s="246"/>
      <c r="P21" s="196" t="s">
        <v>37</v>
      </c>
      <c r="Q21" s="246"/>
      <c r="R21" s="251" t="s">
        <v>9</v>
      </c>
      <c r="S21" s="251" t="s">
        <v>289</v>
      </c>
      <c r="T21" s="251" t="s">
        <v>10</v>
      </c>
      <c r="U21" s="251" t="s">
        <v>244</v>
      </c>
      <c r="V21" s="252" t="s">
        <v>12</v>
      </c>
      <c r="W21" s="157"/>
      <c r="AB21" s="531"/>
      <c r="AC21" s="531"/>
      <c r="AD21" s="531"/>
      <c r="AE21" s="531"/>
    </row>
    <row r="22" spans="2:23" ht="12.75">
      <c r="B22" s="156"/>
      <c r="C22" s="16">
        <v>108</v>
      </c>
      <c r="D22" s="17" t="s">
        <v>189</v>
      </c>
      <c r="E22" s="833" t="s">
        <v>245</v>
      </c>
      <c r="F22" s="834"/>
      <c r="G22" s="834"/>
      <c r="H22" s="834"/>
      <c r="I22" s="834"/>
      <c r="J22" s="834"/>
      <c r="K22" s="834"/>
      <c r="L22" s="834"/>
      <c r="M22" s="834"/>
      <c r="N22" s="834"/>
      <c r="O22" s="835"/>
      <c r="P22" s="810">
        <v>-0.5</v>
      </c>
      <c r="Q22" s="836"/>
      <c r="R22" s="523">
        <v>6</v>
      </c>
      <c r="S22" s="523"/>
      <c r="T22" s="523">
        <v>2</v>
      </c>
      <c r="U22" s="523">
        <v>1</v>
      </c>
      <c r="V22" s="524">
        <v>0</v>
      </c>
      <c r="W22" s="157"/>
    </row>
    <row r="23" spans="2:23" ht="12.75">
      <c r="B23" s="156"/>
      <c r="C23" s="18"/>
      <c r="D23" s="19"/>
      <c r="E23" s="839"/>
      <c r="F23" s="837"/>
      <c r="G23" s="837"/>
      <c r="H23" s="837"/>
      <c r="I23" s="837"/>
      <c r="J23" s="837"/>
      <c r="K23" s="837"/>
      <c r="L23" s="837"/>
      <c r="M23" s="837"/>
      <c r="N23" s="837"/>
      <c r="O23" s="838"/>
      <c r="P23" s="806"/>
      <c r="Q23" s="843"/>
      <c r="R23" s="525"/>
      <c r="S23" s="525"/>
      <c r="T23" s="525"/>
      <c r="U23" s="525"/>
      <c r="V23" s="526"/>
      <c r="W23" s="157"/>
    </row>
    <row r="24" spans="2:23" ht="12.75">
      <c r="B24" s="156"/>
      <c r="C24" s="18"/>
      <c r="D24" s="19"/>
      <c r="E24" s="840"/>
      <c r="F24" s="841"/>
      <c r="G24" s="841"/>
      <c r="H24" s="841"/>
      <c r="I24" s="841"/>
      <c r="J24" s="841"/>
      <c r="K24" s="841"/>
      <c r="L24" s="841"/>
      <c r="M24" s="841"/>
      <c r="N24" s="841"/>
      <c r="O24" s="842"/>
      <c r="P24" s="808"/>
      <c r="Q24" s="809"/>
      <c r="R24" s="527"/>
      <c r="S24" s="527"/>
      <c r="T24" s="527"/>
      <c r="U24" s="527"/>
      <c r="V24" s="528"/>
      <c r="W24" s="157"/>
    </row>
    <row r="25" spans="2:23" ht="33.75">
      <c r="B25" s="156"/>
      <c r="C25" s="16">
        <v>101.3</v>
      </c>
      <c r="D25" s="17" t="s">
        <v>191</v>
      </c>
      <c r="E25" s="833" t="s">
        <v>108</v>
      </c>
      <c r="F25" s="834"/>
      <c r="G25" s="834"/>
      <c r="H25" s="834"/>
      <c r="I25" s="834"/>
      <c r="J25" s="834"/>
      <c r="K25" s="834"/>
      <c r="L25" s="834"/>
      <c r="M25" s="834"/>
      <c r="N25" s="834"/>
      <c r="O25" s="835"/>
      <c r="P25" s="810">
        <v>-0.6</v>
      </c>
      <c r="Q25" s="811"/>
      <c r="R25" s="523">
        <v>5</v>
      </c>
      <c r="S25" s="523"/>
      <c r="T25" s="523">
        <v>2</v>
      </c>
      <c r="U25" s="523">
        <v>2</v>
      </c>
      <c r="V25" s="524">
        <v>0</v>
      </c>
      <c r="W25" s="157"/>
    </row>
    <row r="26" spans="2:23" ht="12.75">
      <c r="B26" s="156"/>
      <c r="C26" s="18"/>
      <c r="D26" s="19"/>
      <c r="E26" s="839"/>
      <c r="F26" s="837"/>
      <c r="G26" s="837"/>
      <c r="H26" s="837"/>
      <c r="I26" s="837"/>
      <c r="J26" s="837"/>
      <c r="K26" s="837"/>
      <c r="L26" s="837"/>
      <c r="M26" s="837"/>
      <c r="N26" s="837"/>
      <c r="O26" s="838"/>
      <c r="P26" s="806"/>
      <c r="Q26" s="807"/>
      <c r="R26" s="525"/>
      <c r="S26" s="525"/>
      <c r="T26" s="525"/>
      <c r="U26" s="525"/>
      <c r="V26" s="526"/>
      <c r="W26" s="157"/>
    </row>
    <row r="27" spans="2:23" ht="12.75">
      <c r="B27" s="156"/>
      <c r="C27" s="18"/>
      <c r="D27" s="19"/>
      <c r="E27" s="840"/>
      <c r="F27" s="841"/>
      <c r="G27" s="841"/>
      <c r="H27" s="841"/>
      <c r="I27" s="841"/>
      <c r="J27" s="841"/>
      <c r="K27" s="841"/>
      <c r="L27" s="841"/>
      <c r="M27" s="841"/>
      <c r="N27" s="841"/>
      <c r="O27" s="842"/>
      <c r="P27" s="808"/>
      <c r="Q27" s="809"/>
      <c r="R27" s="527"/>
      <c r="S27" s="527"/>
      <c r="T27" s="527"/>
      <c r="U27" s="527"/>
      <c r="V27" s="528"/>
      <c r="W27" s="157"/>
    </row>
    <row r="28" spans="2:23" ht="12.75">
      <c r="B28" s="156"/>
      <c r="C28" s="16">
        <v>109</v>
      </c>
      <c r="D28" s="17" t="s">
        <v>190</v>
      </c>
      <c r="E28" s="837" t="s">
        <v>246</v>
      </c>
      <c r="F28" s="837"/>
      <c r="G28" s="837"/>
      <c r="H28" s="837"/>
      <c r="I28" s="837"/>
      <c r="J28" s="837"/>
      <c r="K28" s="837"/>
      <c r="L28" s="837"/>
      <c r="M28" s="837"/>
      <c r="N28" s="837"/>
      <c r="O28" s="838"/>
      <c r="P28" s="810">
        <v>-0.6</v>
      </c>
      <c r="Q28" s="811"/>
      <c r="R28" s="525">
        <v>10</v>
      </c>
      <c r="S28" s="525"/>
      <c r="T28" s="525">
        <v>5</v>
      </c>
      <c r="U28" s="525">
        <v>1</v>
      </c>
      <c r="V28" s="526">
        <v>0</v>
      </c>
      <c r="W28" s="157"/>
    </row>
    <row r="29" spans="2:23" ht="12.75">
      <c r="B29" s="156"/>
      <c r="C29" s="18"/>
      <c r="D29" s="19"/>
      <c r="E29" s="837" t="s">
        <v>247</v>
      </c>
      <c r="F29" s="837"/>
      <c r="G29" s="837"/>
      <c r="H29" s="837"/>
      <c r="I29" s="837"/>
      <c r="J29" s="837"/>
      <c r="K29" s="837"/>
      <c r="L29" s="837"/>
      <c r="M29" s="837"/>
      <c r="N29" s="837"/>
      <c r="O29" s="838"/>
      <c r="P29" s="806">
        <v>0.25</v>
      </c>
      <c r="Q29" s="807"/>
      <c r="R29" s="525">
        <v>6</v>
      </c>
      <c r="S29" s="525"/>
      <c r="T29" s="525">
        <v>5</v>
      </c>
      <c r="U29" s="525">
        <v>0</v>
      </c>
      <c r="V29" s="526">
        <v>0</v>
      </c>
      <c r="W29" s="157"/>
    </row>
    <row r="30" spans="2:25" ht="12.75">
      <c r="B30" s="156"/>
      <c r="C30" s="20"/>
      <c r="D30" s="21"/>
      <c r="E30" s="837"/>
      <c r="F30" s="837"/>
      <c r="G30" s="837"/>
      <c r="H30" s="837"/>
      <c r="I30" s="837"/>
      <c r="J30" s="837"/>
      <c r="K30" s="837"/>
      <c r="L30" s="837"/>
      <c r="M30" s="837"/>
      <c r="N30" s="837"/>
      <c r="O30" s="838"/>
      <c r="P30" s="808"/>
      <c r="Q30" s="809"/>
      <c r="R30" s="525"/>
      <c r="S30" s="525"/>
      <c r="T30" s="525"/>
      <c r="U30" s="525"/>
      <c r="V30" s="526"/>
      <c r="W30" s="157"/>
      <c r="Y30" s="532"/>
    </row>
    <row r="31" spans="2:23" ht="12.75">
      <c r="B31" s="156"/>
      <c r="C31" s="18"/>
      <c r="D31" s="19"/>
      <c r="E31" s="833"/>
      <c r="F31" s="834"/>
      <c r="G31" s="834"/>
      <c r="H31" s="834"/>
      <c r="I31" s="834"/>
      <c r="J31" s="834"/>
      <c r="K31" s="834"/>
      <c r="L31" s="834"/>
      <c r="M31" s="834"/>
      <c r="N31" s="834"/>
      <c r="O31" s="835"/>
      <c r="P31" s="810"/>
      <c r="Q31" s="811"/>
      <c r="R31" s="523"/>
      <c r="S31" s="523"/>
      <c r="T31" s="523"/>
      <c r="U31" s="523"/>
      <c r="V31" s="524"/>
      <c r="W31" s="157"/>
    </row>
    <row r="32" spans="2:23" ht="12.75">
      <c r="B32" s="156"/>
      <c r="C32" s="18"/>
      <c r="D32" s="19"/>
      <c r="E32" s="839"/>
      <c r="F32" s="837"/>
      <c r="G32" s="837"/>
      <c r="H32" s="837"/>
      <c r="I32" s="837"/>
      <c r="J32" s="837"/>
      <c r="K32" s="837"/>
      <c r="L32" s="837"/>
      <c r="M32" s="837"/>
      <c r="N32" s="837"/>
      <c r="O32" s="838"/>
      <c r="P32" s="806"/>
      <c r="Q32" s="807"/>
      <c r="R32" s="525"/>
      <c r="S32" s="525"/>
      <c r="T32" s="525"/>
      <c r="U32" s="525"/>
      <c r="V32" s="526"/>
      <c r="W32" s="157"/>
    </row>
    <row r="33" spans="2:23" ht="13.5" thickBot="1">
      <c r="B33" s="156"/>
      <c r="C33" s="22"/>
      <c r="D33" s="21"/>
      <c r="E33" s="840"/>
      <c r="F33" s="841"/>
      <c r="G33" s="841"/>
      <c r="H33" s="841"/>
      <c r="I33" s="841"/>
      <c r="J33" s="841"/>
      <c r="K33" s="841"/>
      <c r="L33" s="841"/>
      <c r="M33" s="841"/>
      <c r="N33" s="841"/>
      <c r="O33" s="842"/>
      <c r="P33" s="808"/>
      <c r="Q33" s="846"/>
      <c r="R33" s="525"/>
      <c r="S33" s="527"/>
      <c r="T33" s="527"/>
      <c r="U33" s="527"/>
      <c r="V33" s="528"/>
      <c r="W33" s="157"/>
    </row>
    <row r="34" spans="2:23" ht="12.75" customHeight="1">
      <c r="B34" s="156"/>
      <c r="C34" s="118"/>
      <c r="D34" s="253"/>
      <c r="E34" s="254"/>
      <c r="F34" s="254"/>
      <c r="G34" s="255"/>
      <c r="H34" s="256"/>
      <c r="I34" s="256"/>
      <c r="J34" s="256"/>
      <c r="K34" s="256"/>
      <c r="L34" s="256"/>
      <c r="M34" s="256"/>
      <c r="N34" s="256"/>
      <c r="O34" s="256"/>
      <c r="P34" s="256"/>
      <c r="Q34" s="257" t="s">
        <v>248</v>
      </c>
      <c r="R34" s="761">
        <f>SUM(R22:R33)</f>
        <v>27</v>
      </c>
      <c r="S34" s="761">
        <f>SUM(S22:S33)</f>
        <v>0</v>
      </c>
      <c r="T34" s="258">
        <f>SUM(T22:T33)</f>
        <v>14</v>
      </c>
      <c r="U34" s="258">
        <f>SUM(U22:U33)</f>
        <v>4</v>
      </c>
      <c r="V34" s="259">
        <f>SUM(V22:V33)</f>
        <v>0</v>
      </c>
      <c r="W34" s="157"/>
    </row>
    <row r="35" spans="2:23" ht="12.75">
      <c r="B35" s="156"/>
      <c r="C35" s="118"/>
      <c r="D35" s="253"/>
      <c r="E35" s="254"/>
      <c r="F35" s="254"/>
      <c r="G35" s="260"/>
      <c r="H35" s="261"/>
      <c r="I35" s="261"/>
      <c r="J35" s="261"/>
      <c r="K35" s="261"/>
      <c r="L35" s="261"/>
      <c r="M35" s="261"/>
      <c r="N35" s="261"/>
      <c r="O35" s="261"/>
      <c r="P35" s="261"/>
      <c r="Q35" s="262" t="s">
        <v>249</v>
      </c>
      <c r="R35" s="762">
        <f>$P22*R22+$P23*R23+$P24*R24+$P25*R25+$P26*R26+$P27*R27+$P28*R28+$P29*R29+$P30*R30+$P31*R31+$P32*R32+$P33*R33</f>
        <v>-10.5</v>
      </c>
      <c r="S35" s="762">
        <f>$P22*S22+$P23*S23+$P24*S24+$P25*S25+$P26*S26+$P27*S27+$P28*S28+$P29*S29+$P30*S30+$P31*S31+$P32*S32+$P33*S33</f>
        <v>0</v>
      </c>
      <c r="T35" s="263">
        <f>$P22*T22+$P23*T23+$P24*T24+$P25*T25+$P26*T26+$P27*T27+$P28*T28+$P29*T29+$P30*T30+$P31*T31+$P32*T32+$P33*T33</f>
        <v>-3.95</v>
      </c>
      <c r="U35" s="263">
        <f>$P22*U22+$P23*U23+$P24*U24+$P25*U25+$P26*U26+$P27*U27+$P28*U28+$P29*U29+$P30*U30+$P31*U31+$P32*U32+$P33*U33</f>
        <v>-2.3</v>
      </c>
      <c r="V35" s="264">
        <f>$P22*V22+$P23*V23+$P24*V24+$P25*V25+$P26*V26+$P27*V27+$P28*V28+$P29*V29+$P30*V30+$P31*V31+$P32*V32+$P33*V33</f>
        <v>0</v>
      </c>
      <c r="W35" s="157"/>
    </row>
    <row r="36" spans="2:23" ht="13.5" thickBot="1">
      <c r="B36" s="156"/>
      <c r="C36" s="118"/>
      <c r="D36" s="265"/>
      <c r="E36" s="266"/>
      <c r="F36" s="266"/>
      <c r="G36" s="267"/>
      <c r="H36" s="221"/>
      <c r="I36" s="221"/>
      <c r="J36" s="221"/>
      <c r="K36" s="221"/>
      <c r="L36" s="221"/>
      <c r="M36" s="221"/>
      <c r="N36" s="221"/>
      <c r="O36" s="221"/>
      <c r="P36" s="221"/>
      <c r="Q36" s="268" t="s">
        <v>250</v>
      </c>
      <c r="R36" s="787">
        <f>(R35*T12)/1000</f>
        <v>-277.2</v>
      </c>
      <c r="S36" s="787">
        <f>(S35*T13)/1000</f>
        <v>0</v>
      </c>
      <c r="T36" s="269">
        <f>(T35*T14)/1000</f>
        <v>-1982.9</v>
      </c>
      <c r="U36" s="270">
        <f>(U35*T15)/1000</f>
        <v>-3040.5999999999995</v>
      </c>
      <c r="V36" s="271">
        <f>(V35*T16)/1000</f>
        <v>0</v>
      </c>
      <c r="W36" s="157"/>
    </row>
    <row r="37" spans="2:24" ht="6" customHeight="1" thickBot="1">
      <c r="B37" s="156"/>
      <c r="C37" s="118"/>
      <c r="D37" s="118"/>
      <c r="E37" s="118"/>
      <c r="F37" s="118"/>
      <c r="G37" s="118"/>
      <c r="H37" s="118"/>
      <c r="I37" s="118"/>
      <c r="J37" s="118"/>
      <c r="K37" s="118"/>
      <c r="L37" s="118"/>
      <c r="M37" s="118"/>
      <c r="N37" s="118"/>
      <c r="O37" s="118"/>
      <c r="P37" s="118"/>
      <c r="Q37" s="118"/>
      <c r="R37" s="118"/>
      <c r="S37" s="118"/>
      <c r="T37" s="118"/>
      <c r="U37" s="118"/>
      <c r="V37" s="118"/>
      <c r="W37" s="157"/>
      <c r="X37" s="531"/>
    </row>
    <row r="38" spans="2:24" ht="18.75">
      <c r="B38" s="156"/>
      <c r="C38" s="118"/>
      <c r="D38" s="127" t="s">
        <v>104</v>
      </c>
      <c r="E38" s="128"/>
      <c r="F38" s="128"/>
      <c r="G38" s="128"/>
      <c r="H38" s="128"/>
      <c r="I38" s="128"/>
      <c r="J38" s="128"/>
      <c r="K38" s="128"/>
      <c r="L38" s="128"/>
      <c r="M38" s="128"/>
      <c r="N38" s="128"/>
      <c r="O38" s="272"/>
      <c r="P38" s="272"/>
      <c r="Q38" s="272"/>
      <c r="R38" s="272"/>
      <c r="S38" s="272"/>
      <c r="T38" s="272"/>
      <c r="U38" s="272"/>
      <c r="V38" s="187"/>
      <c r="W38" s="157"/>
      <c r="X38" s="531"/>
    </row>
    <row r="39" spans="2:24" ht="12.75" customHeight="1">
      <c r="B39" s="156"/>
      <c r="C39" s="118"/>
      <c r="D39" s="412" t="s">
        <v>13</v>
      </c>
      <c r="E39" s="413" t="s">
        <v>85</v>
      </c>
      <c r="F39" s="413" t="s">
        <v>14</v>
      </c>
      <c r="G39" s="414" t="s">
        <v>15</v>
      </c>
      <c r="H39" s="415" t="s">
        <v>39</v>
      </c>
      <c r="I39" s="416"/>
      <c r="J39" s="416"/>
      <c r="K39" s="276"/>
      <c r="L39" s="276"/>
      <c r="M39" s="415" t="s">
        <v>34</v>
      </c>
      <c r="N39" s="416"/>
      <c r="O39" s="273" t="s">
        <v>27</v>
      </c>
      <c r="P39" s="274"/>
      <c r="Q39" s="273" t="s">
        <v>27</v>
      </c>
      <c r="R39" s="275"/>
      <c r="S39" s="274"/>
      <c r="T39" s="274" t="s">
        <v>16</v>
      </c>
      <c r="U39" s="274"/>
      <c r="V39" s="417"/>
      <c r="W39" s="157"/>
      <c r="X39" s="531"/>
    </row>
    <row r="40" spans="2:23" ht="12.75" customHeight="1">
      <c r="B40" s="156"/>
      <c r="C40" s="118"/>
      <c r="D40" s="412"/>
      <c r="E40" s="413" t="s">
        <v>136</v>
      </c>
      <c r="F40" s="413" t="s">
        <v>17</v>
      </c>
      <c r="G40" s="414" t="s">
        <v>18</v>
      </c>
      <c r="H40" s="415" t="s">
        <v>35</v>
      </c>
      <c r="I40" s="416"/>
      <c r="J40" s="416"/>
      <c r="K40" s="276"/>
      <c r="L40" s="276"/>
      <c r="M40" s="415" t="s">
        <v>35</v>
      </c>
      <c r="N40" s="416"/>
      <c r="O40" s="415" t="s">
        <v>19</v>
      </c>
      <c r="P40" s="416"/>
      <c r="Q40" s="418" t="s">
        <v>133</v>
      </c>
      <c r="R40" s="419"/>
      <c r="S40" s="429"/>
      <c r="T40" s="416" t="s">
        <v>5</v>
      </c>
      <c r="U40" s="416"/>
      <c r="V40" s="420"/>
      <c r="W40" s="157"/>
    </row>
    <row r="41" spans="2:23" ht="12.75" customHeight="1">
      <c r="B41" s="156"/>
      <c r="C41" s="118"/>
      <c r="D41" s="421"/>
      <c r="E41" s="413" t="s">
        <v>5</v>
      </c>
      <c r="F41" s="413" t="s">
        <v>5</v>
      </c>
      <c r="G41" s="414" t="s">
        <v>21</v>
      </c>
      <c r="H41" s="422" t="s">
        <v>251</v>
      </c>
      <c r="I41" s="423"/>
      <c r="J41" s="423"/>
      <c r="K41" s="423"/>
      <c r="L41" s="423"/>
      <c r="M41" s="415" t="s">
        <v>252</v>
      </c>
      <c r="N41" s="416"/>
      <c r="O41" s="415" t="s">
        <v>28</v>
      </c>
      <c r="P41" s="416"/>
      <c r="Q41" s="415" t="s">
        <v>28</v>
      </c>
      <c r="R41" s="424"/>
      <c r="S41" s="416"/>
      <c r="T41" s="276" t="s">
        <v>29</v>
      </c>
      <c r="U41" s="276"/>
      <c r="V41" s="277"/>
      <c r="W41" s="157"/>
    </row>
    <row r="42" spans="2:23" ht="12.75" customHeight="1">
      <c r="B42" s="156"/>
      <c r="C42" s="118"/>
      <c r="D42" s="425"/>
      <c r="E42" s="426" t="s">
        <v>23</v>
      </c>
      <c r="F42" s="426" t="s">
        <v>23</v>
      </c>
      <c r="G42" s="426" t="s">
        <v>132</v>
      </c>
      <c r="H42" s="427" t="s">
        <v>9</v>
      </c>
      <c r="I42" s="427" t="s">
        <v>289</v>
      </c>
      <c r="J42" s="427" t="s">
        <v>10</v>
      </c>
      <c r="K42" s="427" t="s">
        <v>244</v>
      </c>
      <c r="L42" s="428" t="s">
        <v>12</v>
      </c>
      <c r="M42" s="415" t="s">
        <v>5</v>
      </c>
      <c r="N42" s="416"/>
      <c r="O42" s="418" t="s">
        <v>22</v>
      </c>
      <c r="P42" s="429"/>
      <c r="Q42" s="418" t="s">
        <v>20</v>
      </c>
      <c r="R42" s="419"/>
      <c r="S42" s="429"/>
      <c r="T42" s="276" t="s">
        <v>24</v>
      </c>
      <c r="U42" s="276"/>
      <c r="V42" s="277"/>
      <c r="W42" s="157"/>
    </row>
    <row r="43" spans="2:23" ht="12.75" customHeight="1">
      <c r="B43" s="156"/>
      <c r="C43" s="118"/>
      <c r="D43" s="278" t="str">
        <f>D22</f>
        <v>Intersection Illumination</v>
      </c>
      <c r="E43" s="430">
        <v>250</v>
      </c>
      <c r="F43" s="431">
        <v>1</v>
      </c>
      <c r="G43" s="430">
        <v>15</v>
      </c>
      <c r="H43" s="432">
        <f>($P22*R22)+($P23*R23)+($P24*R24)</f>
        <v>-3</v>
      </c>
      <c r="I43" s="432">
        <f>($P22*S22)+($P23*S23)+($P24*S24)</f>
        <v>0</v>
      </c>
      <c r="J43" s="432">
        <f>($P22*T22)+($P23*T23)+($P24*T24)</f>
        <v>-1</v>
      </c>
      <c r="K43" s="432">
        <f>($P22*U22)+($P23*U23)+($P24*U24)</f>
        <v>-0.5</v>
      </c>
      <c r="L43" s="432">
        <f>($P22*V22)+($P23*V23)+($P24*V24)</f>
        <v>0</v>
      </c>
      <c r="M43" s="433">
        <f>(H43*T$12)+(I43*T$13)+(J43*T$14)+(K43*T15)+(L43*T$16)</f>
        <v>-1242200</v>
      </c>
      <c r="N43" s="434"/>
      <c r="O43" s="435">
        <f>-(IF(M43&lt;&gt;0,(M43/G$12)+(IF($F43&lt;0,1,0)*$F43*1000),0))</f>
        <v>248440</v>
      </c>
      <c r="P43" s="436"/>
      <c r="Q43" s="435">
        <f>IF((E43+F43)&lt;&gt;0,(-PMT($G$11,$G43,($E43*1000),0)+(IF($F43&gt;0,1,0)*$F43*1000)),0)</f>
        <v>21941.645115572006</v>
      </c>
      <c r="R43" s="436"/>
      <c r="S43" s="436"/>
      <c r="T43" s="437" t="str">
        <f>IF((E43+F43)&lt;&gt;0,IF(Q43&lt;&gt;0,ROUND(O43/(Q43),1)&amp;" : 1",0),0)</f>
        <v>11.3 : 1</v>
      </c>
      <c r="U43" s="438"/>
      <c r="V43" s="439"/>
      <c r="W43" s="157"/>
    </row>
    <row r="44" spans="2:23" ht="35.25" customHeight="1">
      <c r="B44" s="156"/>
      <c r="C44" s="118"/>
      <c r="D44" s="278" t="str">
        <f>D25</f>
        <v>Install Lt Turn Pocket at Rural, Unsignalized Intersection (Major Road Approach Only)</v>
      </c>
      <c r="E44" s="430">
        <v>600</v>
      </c>
      <c r="F44" s="431">
        <v>0.5</v>
      </c>
      <c r="G44" s="430">
        <v>10</v>
      </c>
      <c r="H44" s="432">
        <f>($P25*R25)+($P26*R26)+($P27*R27)</f>
        <v>-3</v>
      </c>
      <c r="I44" s="432">
        <f>($P25*S25)+($P26*S26)+($P27*S27)</f>
        <v>0</v>
      </c>
      <c r="J44" s="432">
        <f>($P25*T25)+($P26*T26)+($P27*T27)</f>
        <v>-1.2</v>
      </c>
      <c r="K44" s="432">
        <f>($P25*U25)+($P26*U26)+($P27*U27)</f>
        <v>-1.2</v>
      </c>
      <c r="L44" s="432">
        <f>($P25*V25)+($P26*V26)+($P27*V27)</f>
        <v>0</v>
      </c>
      <c r="M44" s="433">
        <f>(H44*T$12)+(I44*T$13)+(J44*T$14)+(K44*T15)+(L44*T$16)</f>
        <v>-2268000</v>
      </c>
      <c r="N44" s="434"/>
      <c r="O44" s="435">
        <f>-(IF(M44&lt;&gt;0,(M44/G$12)+(IF($F44&lt;0,1,0)*$F44*1000),0))</f>
        <v>453600</v>
      </c>
      <c r="P44" s="440"/>
      <c r="Q44" s="435">
        <f>IF((E44+F44)&lt;&gt;0,(-PMT($G$11,$G44,($E44*1000),0)+(IF($F44&gt;0,1,0)*$F44*1000)),0)</f>
        <v>70838.30396309575</v>
      </c>
      <c r="R44" s="436"/>
      <c r="S44" s="436"/>
      <c r="T44" s="437" t="str">
        <f>IF((E44+F44)&lt;&gt;0,IF(Q44&lt;&gt;0,ROUND(O44/(Q44),1)&amp;" : 1",0),0)</f>
        <v>6.4 : 1</v>
      </c>
      <c r="U44" s="438"/>
      <c r="V44" s="439"/>
      <c r="W44" s="157"/>
    </row>
    <row r="45" spans="2:28" ht="12.75" customHeight="1">
      <c r="B45" s="156"/>
      <c r="C45" s="118"/>
      <c r="D45" s="278" t="str">
        <f>D28</f>
        <v>New Traffic Signal</v>
      </c>
      <c r="E45" s="430">
        <v>1250</v>
      </c>
      <c r="F45" s="431">
        <v>10</v>
      </c>
      <c r="G45" s="430">
        <v>10</v>
      </c>
      <c r="H45" s="432">
        <f>($P28*R28)+($P29*R29)+($P30*R30)</f>
        <v>-4.5</v>
      </c>
      <c r="I45" s="432">
        <f>($P28*S28)+($P29*S29)+($P30*S30)</f>
        <v>0</v>
      </c>
      <c r="J45" s="432">
        <f>($P28*T28)+($P29*T29)+($P30*T30)</f>
        <v>-1.75</v>
      </c>
      <c r="K45" s="432">
        <f>($P28*U28)+($P29*U29)+($P30*U30)</f>
        <v>-0.6</v>
      </c>
      <c r="L45" s="432">
        <f>($P28*V28)+($P29*V29)+($P30*V30)</f>
        <v>0</v>
      </c>
      <c r="M45" s="433">
        <f>(H45*T$12)+(I45*T$13)+(J45*T$14)+(K45*T15)+(L45*T$16)</f>
        <v>-1790500</v>
      </c>
      <c r="N45" s="434"/>
      <c r="O45" s="435">
        <f>-(IF(M45&lt;&gt;0,(M45/G$12)+(IF($F45&lt;0,1,0)*$F45*1000),0))</f>
        <v>358100</v>
      </c>
      <c r="P45" s="441"/>
      <c r="Q45" s="442">
        <f>IF((E45+F45)&lt;&gt;0,(-PMT($G$11,$G45,($E45*1000),0)+(IF($F45&gt;0,1,0)*$F45*1000)),0)</f>
        <v>156538.13325644948</v>
      </c>
      <c r="R45" s="440"/>
      <c r="S45" s="1102"/>
      <c r="T45" s="437" t="str">
        <f>IF((E45+F45)&lt;&gt;0,IF(Q45&lt;&gt;0,ROUND(O45/(Q45),1)&amp;" : 1",0),0)</f>
        <v>2.3 : 1</v>
      </c>
      <c r="U45" s="443"/>
      <c r="V45" s="444"/>
      <c r="W45" s="157"/>
      <c r="Z45" s="537"/>
      <c r="AA45" s="538"/>
      <c r="AB45" s="538"/>
    </row>
    <row r="46" spans="2:23" ht="12.75" customHeight="1">
      <c r="B46" s="156"/>
      <c r="C46" s="118"/>
      <c r="D46" s="445">
        <f>D31</f>
        <v>0</v>
      </c>
      <c r="E46" s="430"/>
      <c r="F46" s="431"/>
      <c r="G46" s="430"/>
      <c r="H46" s="432">
        <f>($P31*R31)+($P32*R32)+($P33*R33)</f>
        <v>0</v>
      </c>
      <c r="I46" s="432">
        <f>($P31*S31)+($P32*S32)+($P33*S33)</f>
        <v>0</v>
      </c>
      <c r="J46" s="432">
        <f>($P31*T31)+($P32*T32)+($P33*T33)</f>
        <v>0</v>
      </c>
      <c r="K46" s="432">
        <f>($P31*U31)+($P32*U32)+($P33*U33)</f>
        <v>0</v>
      </c>
      <c r="L46" s="432">
        <f>($P31*V31)+($P32*V32)+($P33*V33)</f>
        <v>0</v>
      </c>
      <c r="M46" s="433">
        <f>(H46*T$12)+(J46*T$14)+(K46*T15)+(L46*T$16)+(I46*$T$13)</f>
        <v>0</v>
      </c>
      <c r="N46" s="434"/>
      <c r="O46" s="435">
        <f>-(IF(M46&lt;&gt;0,(M46/G$12)+(IF($F46&lt;0,1,0)*$F46*1000),0))</f>
        <v>0</v>
      </c>
      <c r="P46" s="441"/>
      <c r="Q46" s="446">
        <f>IF((E46+F46)&lt;&gt;0,(-PMT($G$11,$G46,($E46*1000),0)+(IF($F46&gt;0,1,0)*$F46*1000)),0)</f>
        <v>0</v>
      </c>
      <c r="R46" s="441"/>
      <c r="S46" s="441"/>
      <c r="T46" s="447">
        <f>IF((E46+F46)&lt;&gt;0,IF(Q46&lt;&gt;0,ROUND(O46/(Q46),1)&amp;" : 1",0),0)</f>
        <v>0</v>
      </c>
      <c r="U46" s="443"/>
      <c r="V46" s="444"/>
      <c r="W46" s="157"/>
    </row>
    <row r="47" spans="2:26" ht="12.75" customHeight="1">
      <c r="B47" s="156"/>
      <c r="C47" s="118"/>
      <c r="D47" s="448" t="s">
        <v>32</v>
      </c>
      <c r="E47" s="449"/>
      <c r="F47" s="449"/>
      <c r="G47" s="449"/>
      <c r="H47" s="450">
        <f>SUM(H43:H46)</f>
        <v>-10.5</v>
      </c>
      <c r="I47" s="450">
        <f>SUM(I43:I46)</f>
        <v>0</v>
      </c>
      <c r="J47" s="450">
        <f>SUM(J43:J46)</f>
        <v>-3.95</v>
      </c>
      <c r="K47" s="450">
        <f>SUM(K43:K46)</f>
        <v>-2.3</v>
      </c>
      <c r="L47" s="450">
        <f>SUM(L43:L46)</f>
        <v>0</v>
      </c>
      <c r="M47" s="451"/>
      <c r="N47" s="452"/>
      <c r="O47" s="453"/>
      <c r="P47" s="454"/>
      <c r="Q47" s="453"/>
      <c r="R47" s="454"/>
      <c r="S47" s="759"/>
      <c r="T47" s="455"/>
      <c r="U47" s="456"/>
      <c r="V47" s="457"/>
      <c r="W47" s="157"/>
      <c r="Y47" s="530" t="s">
        <v>3</v>
      </c>
      <c r="Z47" s="539"/>
    </row>
    <row r="48" spans="2:26" ht="12.75" customHeight="1" thickBot="1">
      <c r="B48" s="156"/>
      <c r="C48" s="118"/>
      <c r="D48" s="458" t="s">
        <v>73</v>
      </c>
      <c r="E48" s="459">
        <f>SUM(E43:E46)</f>
        <v>2100</v>
      </c>
      <c r="F48" s="460">
        <f>SUM(F43:F46)</f>
        <v>11.5</v>
      </c>
      <c r="G48" s="460">
        <f>SUMPRODUCT(E43:E46,G43:G46)/SUM(E43:E46)</f>
        <v>10.595238095238095</v>
      </c>
      <c r="H48" s="468">
        <f>SUM(H47:L47)</f>
        <v>-16.75</v>
      </c>
      <c r="I48" s="469"/>
      <c r="J48" s="469"/>
      <c r="K48" s="469"/>
      <c r="L48" s="470"/>
      <c r="M48" s="844">
        <f>SUM(M43:N46)</f>
        <v>-5300700</v>
      </c>
      <c r="N48" s="845"/>
      <c r="O48" s="461">
        <f>-(IF(M48&lt;&gt;0,(M48/G$12)+(IF($F48&lt;0,1,0)*$F48*1000),0))</f>
        <v>1060140</v>
      </c>
      <c r="P48" s="462"/>
      <c r="Q48" s="463">
        <f>SUM(Q43:R46)</f>
        <v>249318.08233511724</v>
      </c>
      <c r="R48" s="464"/>
      <c r="S48" s="760"/>
      <c r="T48" s="465" t="str">
        <f>IF(Q48&lt;&gt;0,ROUND(O48/(Q48),2)&amp;" : 1",0)</f>
        <v>4.25 : 1</v>
      </c>
      <c r="U48" s="466"/>
      <c r="V48" s="467"/>
      <c r="W48" s="157"/>
      <c r="Z48" s="791">
        <f>ROUND(O48/Q48,1)</f>
        <v>4.3</v>
      </c>
    </row>
    <row r="49" spans="2:23" ht="12" customHeight="1" thickBot="1">
      <c r="B49" s="156"/>
      <c r="C49" s="118"/>
      <c r="D49" s="168"/>
      <c r="E49" s="168"/>
      <c r="F49" s="168"/>
      <c r="G49" s="168"/>
      <c r="H49" s="168"/>
      <c r="I49" s="168"/>
      <c r="J49" s="168"/>
      <c r="K49" s="168"/>
      <c r="L49" s="168"/>
      <c r="M49" s="168"/>
      <c r="N49" s="168"/>
      <c r="O49" s="168"/>
      <c r="P49" s="168"/>
      <c r="Q49" s="168"/>
      <c r="R49" s="168"/>
      <c r="S49" s="168"/>
      <c r="T49" s="168"/>
      <c r="U49" s="168"/>
      <c r="V49" s="168"/>
      <c r="W49" s="157"/>
    </row>
    <row r="50" spans="2:24" ht="18">
      <c r="B50" s="156"/>
      <c r="C50" s="118"/>
      <c r="D50" s="541" t="s">
        <v>30</v>
      </c>
      <c r="E50" s="542"/>
      <c r="F50" s="542"/>
      <c r="G50" s="542"/>
      <c r="H50" s="542"/>
      <c r="I50" s="542"/>
      <c r="J50" s="542"/>
      <c r="K50" s="542"/>
      <c r="L50" s="542"/>
      <c r="M50" s="543"/>
      <c r="N50" s="543"/>
      <c r="O50" s="543"/>
      <c r="P50" s="543"/>
      <c r="Q50" s="543"/>
      <c r="R50" s="543"/>
      <c r="S50" s="543"/>
      <c r="T50" s="543"/>
      <c r="U50" s="543"/>
      <c r="V50" s="544"/>
      <c r="W50" s="157"/>
      <c r="X50" s="531"/>
    </row>
    <row r="51" spans="2:24" ht="6" customHeight="1">
      <c r="B51" s="156"/>
      <c r="C51" s="118"/>
      <c r="D51" s="545"/>
      <c r="E51" s="546"/>
      <c r="F51" s="546"/>
      <c r="G51" s="546"/>
      <c r="H51" s="546"/>
      <c r="I51" s="546"/>
      <c r="J51" s="546"/>
      <c r="K51" s="546"/>
      <c r="L51" s="546"/>
      <c r="M51" s="547"/>
      <c r="N51" s="547"/>
      <c r="O51" s="547"/>
      <c r="P51" s="547"/>
      <c r="Q51" s="547"/>
      <c r="R51" s="547"/>
      <c r="S51" s="547"/>
      <c r="T51" s="547"/>
      <c r="U51" s="547"/>
      <c r="V51" s="548"/>
      <c r="W51" s="157"/>
      <c r="X51" s="531"/>
    </row>
    <row r="52" spans="2:24" ht="12.75" customHeight="1">
      <c r="B52" s="156"/>
      <c r="C52" s="118"/>
      <c r="D52" s="549" t="s">
        <v>42</v>
      </c>
      <c r="E52" s="550" t="s">
        <v>253</v>
      </c>
      <c r="F52" s="36"/>
      <c r="G52" s="551"/>
      <c r="H52" s="551"/>
      <c r="I52" s="551"/>
      <c r="J52" s="37"/>
      <c r="K52" s="552"/>
      <c r="L52" s="551"/>
      <c r="M52" s="37"/>
      <c r="N52" s="37"/>
      <c r="O52" s="37"/>
      <c r="P52" s="552"/>
      <c r="Q52" s="552"/>
      <c r="R52" s="553"/>
      <c r="S52" s="738"/>
      <c r="T52" s="554"/>
      <c r="U52" s="555"/>
      <c r="V52" s="556"/>
      <c r="W52" s="157"/>
      <c r="X52" s="531"/>
    </row>
    <row r="53" spans="2:24" ht="12.75">
      <c r="B53" s="156"/>
      <c r="C53" s="118"/>
      <c r="D53" s="557"/>
      <c r="E53" s="558" t="s">
        <v>284</v>
      </c>
      <c r="F53" s="26"/>
      <c r="G53" s="31"/>
      <c r="H53" s="30"/>
      <c r="I53" s="30"/>
      <c r="J53" s="30"/>
      <c r="K53" s="559"/>
      <c r="L53" s="30"/>
      <c r="M53" s="30"/>
      <c r="N53" s="30"/>
      <c r="O53" s="30"/>
      <c r="P53" s="559"/>
      <c r="Q53" s="559"/>
      <c r="R53" s="30"/>
      <c r="S53" s="30"/>
      <c r="T53" s="30"/>
      <c r="U53" s="148"/>
      <c r="V53" s="556"/>
      <c r="W53" s="157"/>
      <c r="X53" s="531"/>
    </row>
    <row r="54" spans="2:24" ht="5.25" customHeight="1" thickBot="1">
      <c r="B54" s="156"/>
      <c r="C54" s="118"/>
      <c r="D54" s="560"/>
      <c r="E54" s="561"/>
      <c r="F54" s="562"/>
      <c r="G54" s="141"/>
      <c r="H54" s="563"/>
      <c r="I54" s="563"/>
      <c r="J54" s="140"/>
      <c r="K54" s="564"/>
      <c r="L54" s="563"/>
      <c r="M54" s="140"/>
      <c r="N54" s="140"/>
      <c r="O54" s="140"/>
      <c r="P54" s="565"/>
      <c r="Q54" s="565"/>
      <c r="R54" s="140"/>
      <c r="S54" s="140"/>
      <c r="T54" s="140"/>
      <c r="U54" s="140"/>
      <c r="V54" s="566"/>
      <c r="W54" s="157"/>
      <c r="X54" s="531"/>
    </row>
    <row r="55" spans="2:24" ht="13.5" customHeight="1">
      <c r="B55" s="156"/>
      <c r="C55" s="118"/>
      <c r="D55" s="541" t="s">
        <v>231</v>
      </c>
      <c r="E55" s="542"/>
      <c r="F55" s="542"/>
      <c r="G55" s="542"/>
      <c r="H55" s="542"/>
      <c r="I55" s="542"/>
      <c r="J55" s="542"/>
      <c r="K55" s="542"/>
      <c r="L55" s="542"/>
      <c r="M55" s="543"/>
      <c r="N55" s="543"/>
      <c r="O55" s="543"/>
      <c r="P55" s="543"/>
      <c r="Q55" s="543"/>
      <c r="R55" s="543"/>
      <c r="S55" s="543"/>
      <c r="T55" s="543"/>
      <c r="U55" s="543"/>
      <c r="V55" s="544"/>
      <c r="W55" s="157"/>
      <c r="X55" s="531"/>
    </row>
    <row r="56" spans="2:23" ht="18.75">
      <c r="B56" s="156"/>
      <c r="C56" s="118"/>
      <c r="D56" s="545"/>
      <c r="E56" s="546"/>
      <c r="F56" s="546"/>
      <c r="G56" s="546"/>
      <c r="H56" s="546"/>
      <c r="I56" s="546"/>
      <c r="J56" s="546"/>
      <c r="K56" s="546"/>
      <c r="L56" s="546"/>
      <c r="M56" s="547"/>
      <c r="N56" s="547"/>
      <c r="O56" s="547"/>
      <c r="P56" s="547"/>
      <c r="Q56" s="547"/>
      <c r="R56" s="547"/>
      <c r="S56" s="547"/>
      <c r="T56" s="547"/>
      <c r="U56" s="547"/>
      <c r="V56" s="548"/>
      <c r="W56" s="157"/>
    </row>
    <row r="57" spans="2:23" ht="15.75">
      <c r="B57" s="156"/>
      <c r="C57" s="118"/>
      <c r="D57" s="549"/>
      <c r="E57" s="736"/>
      <c r="F57" s="31"/>
      <c r="G57" s="737"/>
      <c r="H57" s="737"/>
      <c r="I57" s="737"/>
      <c r="J57" s="30"/>
      <c r="K57" s="559"/>
      <c r="L57" s="737"/>
      <c r="M57" s="30"/>
      <c r="N57" s="30"/>
      <c r="O57" s="30"/>
      <c r="P57" s="559"/>
      <c r="Q57" s="559"/>
      <c r="R57" s="738"/>
      <c r="S57" s="738"/>
      <c r="T57" s="554"/>
      <c r="U57" s="555"/>
      <c r="V57" s="556"/>
      <c r="W57" s="157"/>
    </row>
    <row r="58" spans="2:23" ht="12.75">
      <c r="B58" s="156"/>
      <c r="C58" s="118"/>
      <c r="D58" s="800" t="s">
        <v>254</v>
      </c>
      <c r="E58" s="801"/>
      <c r="F58" s="801"/>
      <c r="G58" s="801"/>
      <c r="H58" s="801"/>
      <c r="I58" s="801"/>
      <c r="J58" s="801"/>
      <c r="K58" s="801"/>
      <c r="L58" s="801"/>
      <c r="M58" s="801"/>
      <c r="N58" s="801"/>
      <c r="O58" s="801"/>
      <c r="P58" s="801"/>
      <c r="Q58" s="801"/>
      <c r="R58" s="801"/>
      <c r="S58" s="801"/>
      <c r="T58" s="801"/>
      <c r="U58" s="801"/>
      <c r="V58" s="802"/>
      <c r="W58" s="157"/>
    </row>
    <row r="59" spans="2:23" ht="13.5" thickBot="1">
      <c r="B59" s="156"/>
      <c r="C59" s="118"/>
      <c r="D59" s="803"/>
      <c r="E59" s="804"/>
      <c r="F59" s="804"/>
      <c r="G59" s="804"/>
      <c r="H59" s="804"/>
      <c r="I59" s="804"/>
      <c r="J59" s="804"/>
      <c r="K59" s="804"/>
      <c r="L59" s="804"/>
      <c r="M59" s="804"/>
      <c r="N59" s="804"/>
      <c r="O59" s="804"/>
      <c r="P59" s="804"/>
      <c r="Q59" s="804"/>
      <c r="R59" s="804"/>
      <c r="S59" s="804"/>
      <c r="T59" s="804"/>
      <c r="U59" s="804"/>
      <c r="V59" s="805"/>
      <c r="W59" s="157"/>
    </row>
    <row r="60" spans="2:23" ht="12.75">
      <c r="B60" s="567"/>
      <c r="C60" s="522"/>
      <c r="D60" s="522"/>
      <c r="E60" s="522"/>
      <c r="F60" s="522"/>
      <c r="G60" s="522"/>
      <c r="H60" s="522"/>
      <c r="I60" s="522"/>
      <c r="J60" s="522"/>
      <c r="K60" s="522"/>
      <c r="L60" s="522"/>
      <c r="M60" s="522"/>
      <c r="N60" s="522"/>
      <c r="O60" s="522"/>
      <c r="P60" s="522"/>
      <c r="Q60" s="522"/>
      <c r="R60" s="522"/>
      <c r="S60" s="522"/>
      <c r="T60" s="522"/>
      <c r="U60" s="522"/>
      <c r="V60" s="522"/>
      <c r="W60" s="568"/>
    </row>
  </sheetData>
  <sheetProtection/>
  <mergeCells count="39">
    <mergeCell ref="P23:Q23"/>
    <mergeCell ref="E28:O28"/>
    <mergeCell ref="M48:N48"/>
    <mergeCell ref="P33:Q33"/>
    <mergeCell ref="E31:O31"/>
    <mergeCell ref="E32:O32"/>
    <mergeCell ref="E33:O33"/>
    <mergeCell ref="E29:O29"/>
    <mergeCell ref="P25:Q25"/>
    <mergeCell ref="E27:O27"/>
    <mergeCell ref="T14:V14"/>
    <mergeCell ref="T15:V15"/>
    <mergeCell ref="T16:V16"/>
    <mergeCell ref="E22:O22"/>
    <mergeCell ref="P22:Q22"/>
    <mergeCell ref="E30:O30"/>
    <mergeCell ref="E23:O23"/>
    <mergeCell ref="E24:O24"/>
    <mergeCell ref="E25:O25"/>
    <mergeCell ref="E26:O26"/>
    <mergeCell ref="E7:V7"/>
    <mergeCell ref="G11:H11"/>
    <mergeCell ref="G12:H12"/>
    <mergeCell ref="T12:V12"/>
    <mergeCell ref="L8:N8"/>
    <mergeCell ref="O8:R8"/>
    <mergeCell ref="U8:V8"/>
    <mergeCell ref="E8:F8"/>
    <mergeCell ref="H8:K8"/>
    <mergeCell ref="T13:V13"/>
    <mergeCell ref="D58:V59"/>
    <mergeCell ref="P32:Q32"/>
    <mergeCell ref="P24:Q24"/>
    <mergeCell ref="P26:Q26"/>
    <mergeCell ref="P27:Q27"/>
    <mergeCell ref="P28:Q28"/>
    <mergeCell ref="P29:Q29"/>
    <mergeCell ref="P30:Q30"/>
    <mergeCell ref="P31:Q31"/>
  </mergeCells>
  <printOptions horizontalCentered="1"/>
  <pageMargins left="0.41" right="0.3" top="0.66" bottom="0.17" header="0.28" footer="0.32"/>
  <pageSetup fitToHeight="1" fitToWidth="1" horizontalDpi="600" verticalDpi="600" orientation="portrait" scale="75" r:id="rId4"/>
  <headerFooter alignWithMargins="0">
    <oddFooter>&amp;LAlaska HSIP Handbook&amp;CA-3&amp;REffective April 18, 2022</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AU51"/>
  <sheetViews>
    <sheetView showGridLines="0" view="pageBreakPreview" zoomScaleSheetLayoutView="100" workbookViewId="0" topLeftCell="A1">
      <selection activeCell="AB9" sqref="AB9"/>
    </sheetView>
  </sheetViews>
  <sheetFormatPr defaultColWidth="11.375" defaultRowHeight="12.75"/>
  <cols>
    <col min="1" max="1" width="1.25" style="530" customWidth="1"/>
    <col min="2" max="2" width="1.00390625" style="530" customWidth="1"/>
    <col min="3" max="3" width="22.875" style="530" customWidth="1"/>
    <col min="4" max="4" width="5.25390625" style="530" customWidth="1"/>
    <col min="5" max="5" width="8.625" style="530" customWidth="1"/>
    <col min="6" max="6" width="9.75390625" style="530" customWidth="1"/>
    <col min="7" max="7" width="7.875" style="530" customWidth="1"/>
    <col min="8" max="10" width="6.375" style="530" customWidth="1"/>
    <col min="11" max="11" width="5.125" style="530" customWidth="1"/>
    <col min="12" max="21" width="4.875" style="530" customWidth="1"/>
    <col min="22" max="22" width="6.375" style="530" customWidth="1"/>
    <col min="23" max="23" width="6.00390625" style="530" bestFit="1" customWidth="1"/>
    <col min="24" max="26" width="5.00390625" style="530" customWidth="1"/>
    <col min="27" max="27" width="9.125" style="530" bestFit="1" customWidth="1"/>
    <col min="28" max="28" width="5.00390625" style="530" customWidth="1"/>
    <col min="29" max="29" width="6.375" style="530" customWidth="1"/>
    <col min="30" max="30" width="4.875" style="530" customWidth="1"/>
    <col min="31" max="31" width="1.12109375" style="530" customWidth="1"/>
    <col min="32" max="32" width="7.125" style="530" bestFit="1" customWidth="1"/>
    <col min="33" max="33" width="8.125" style="530" bestFit="1" customWidth="1"/>
    <col min="34" max="34" width="7.375" style="530" customWidth="1"/>
    <col min="35" max="35" width="1.25" style="530" customWidth="1"/>
    <col min="36" max="36" width="5.125" style="530" customWidth="1"/>
    <col min="37" max="37" width="13.125" style="530" customWidth="1"/>
    <col min="38" max="38" width="15.625" style="530" customWidth="1"/>
    <col min="39" max="16384" width="11.375" style="530" customWidth="1"/>
  </cols>
  <sheetData>
    <row r="1" ht="6" customHeight="1"/>
    <row r="2" spans="2:31" ht="12.75">
      <c r="B2" s="152"/>
      <c r="C2" s="153"/>
      <c r="D2" s="153"/>
      <c r="E2" s="153"/>
      <c r="F2" s="153"/>
      <c r="G2" s="154"/>
      <c r="H2" s="153"/>
      <c r="I2" s="153"/>
      <c r="J2" s="153"/>
      <c r="K2" s="153"/>
      <c r="L2" s="153"/>
      <c r="M2" s="153"/>
      <c r="N2" s="153"/>
      <c r="O2" s="153"/>
      <c r="P2" s="153"/>
      <c r="Q2" s="153"/>
      <c r="R2" s="153"/>
      <c r="S2" s="153"/>
      <c r="T2" s="153"/>
      <c r="U2" s="153"/>
      <c r="V2" s="153"/>
      <c r="W2" s="153"/>
      <c r="X2" s="153"/>
      <c r="Y2" s="153"/>
      <c r="Z2" s="153"/>
      <c r="AA2" s="153"/>
      <c r="AB2" s="153"/>
      <c r="AC2" s="153"/>
      <c r="AD2" s="153"/>
      <c r="AE2" s="155"/>
    </row>
    <row r="3" spans="2:31" ht="12.75">
      <c r="B3" s="156"/>
      <c r="C3" s="118"/>
      <c r="D3" s="118"/>
      <c r="E3" s="25" t="s">
        <v>255</v>
      </c>
      <c r="F3" s="28"/>
      <c r="G3" s="28"/>
      <c r="H3" s="27"/>
      <c r="I3" s="27"/>
      <c r="J3" s="27"/>
      <c r="K3" s="27"/>
      <c r="L3" s="28"/>
      <c r="M3" s="28"/>
      <c r="N3" s="27"/>
      <c r="O3" s="27"/>
      <c r="P3" s="27"/>
      <c r="Q3" s="27"/>
      <c r="R3" s="27"/>
      <c r="S3" s="27"/>
      <c r="T3" s="27"/>
      <c r="U3" s="27"/>
      <c r="V3" s="27"/>
      <c r="W3" s="27"/>
      <c r="X3" s="118"/>
      <c r="Y3" s="118"/>
      <c r="Z3" s="118"/>
      <c r="AA3" s="118"/>
      <c r="AB3" s="118"/>
      <c r="AC3" s="118"/>
      <c r="AD3" s="118"/>
      <c r="AE3" s="157"/>
    </row>
    <row r="4" spans="2:31" ht="12.75">
      <c r="B4" s="156"/>
      <c r="C4" s="118"/>
      <c r="D4" s="118"/>
      <c r="E4" s="29" t="s">
        <v>0</v>
      </c>
      <c r="F4" s="31"/>
      <c r="G4" s="31"/>
      <c r="H4" s="30"/>
      <c r="I4" s="30"/>
      <c r="J4" s="30"/>
      <c r="K4" s="30"/>
      <c r="L4" s="31"/>
      <c r="M4" s="31"/>
      <c r="N4" s="30"/>
      <c r="O4" s="30"/>
      <c r="P4" s="30"/>
      <c r="Q4" s="30"/>
      <c r="R4" s="30"/>
      <c r="S4" s="30"/>
      <c r="T4" s="30"/>
      <c r="U4" s="30"/>
      <c r="V4" s="30"/>
      <c r="W4" s="30"/>
      <c r="X4" s="118"/>
      <c r="Y4" s="118"/>
      <c r="Z4" s="118"/>
      <c r="AA4" s="118"/>
      <c r="AB4" s="118"/>
      <c r="AC4" s="118"/>
      <c r="AD4" s="118"/>
      <c r="AE4" s="157"/>
    </row>
    <row r="5" spans="2:47" ht="15">
      <c r="B5" s="156"/>
      <c r="C5" s="118"/>
      <c r="D5" s="118"/>
      <c r="E5" s="32" t="s">
        <v>112</v>
      </c>
      <c r="F5" s="31"/>
      <c r="G5" s="31"/>
      <c r="H5" s="30"/>
      <c r="I5" s="30"/>
      <c r="J5" s="30"/>
      <c r="K5" s="30"/>
      <c r="L5" s="31"/>
      <c r="M5" s="31"/>
      <c r="N5" s="30"/>
      <c r="O5" s="30"/>
      <c r="P5" s="30"/>
      <c r="Q5" s="30"/>
      <c r="R5" s="30"/>
      <c r="S5" s="30"/>
      <c r="T5" s="30"/>
      <c r="U5" s="30"/>
      <c r="V5" s="30"/>
      <c r="W5" s="30"/>
      <c r="X5" s="118"/>
      <c r="Y5" s="118"/>
      <c r="Z5" s="118"/>
      <c r="AA5" s="118"/>
      <c r="AB5" s="158"/>
      <c r="AC5" s="118"/>
      <c r="AD5" s="118"/>
      <c r="AE5" s="157"/>
      <c r="AS5" s="885"/>
      <c r="AT5" s="885"/>
      <c r="AU5" s="885"/>
    </row>
    <row r="6" spans="2:47" ht="18.75">
      <c r="B6" s="156"/>
      <c r="C6" s="118"/>
      <c r="D6" s="118" t="s">
        <v>3</v>
      </c>
      <c r="E6" s="33" t="s">
        <v>256</v>
      </c>
      <c r="F6" s="31"/>
      <c r="G6" s="31"/>
      <c r="H6" s="30"/>
      <c r="I6" s="30"/>
      <c r="J6" s="30"/>
      <c r="K6" s="30"/>
      <c r="L6" s="31"/>
      <c r="M6" s="31"/>
      <c r="N6" s="30"/>
      <c r="O6" s="30"/>
      <c r="P6" s="30"/>
      <c r="Q6" s="30"/>
      <c r="R6" s="30"/>
      <c r="S6" s="30"/>
      <c r="T6" s="30"/>
      <c r="U6" s="30"/>
      <c r="V6" s="30"/>
      <c r="W6" s="30"/>
      <c r="X6" s="118" t="s">
        <v>3</v>
      </c>
      <c r="Y6" s="118"/>
      <c r="Z6" s="118"/>
      <c r="AA6" s="118"/>
      <c r="AB6" s="158"/>
      <c r="AC6" s="118"/>
      <c r="AD6" s="118"/>
      <c r="AE6" s="157"/>
      <c r="AS6" s="532"/>
      <c r="AT6" s="532"/>
      <c r="AU6" s="532"/>
    </row>
    <row r="7" spans="2:31" ht="12.75">
      <c r="B7" s="156"/>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57"/>
    </row>
    <row r="8" spans="2:31" ht="33.75" customHeight="1">
      <c r="B8" s="156"/>
      <c r="C8" s="570" t="s">
        <v>124</v>
      </c>
      <c r="D8" s="889" t="str">
        <f>'Predicted B-C'!E7</f>
        <v>Test Intersection  -  Regional Project for the 
Betterment of All Mankind</v>
      </c>
      <c r="E8" s="890"/>
      <c r="F8" s="890"/>
      <c r="G8" s="890"/>
      <c r="H8" s="890"/>
      <c r="I8" s="890"/>
      <c r="J8" s="890"/>
      <c r="K8" s="890"/>
      <c r="L8" s="890"/>
      <c r="M8" s="890"/>
      <c r="N8" s="891"/>
      <c r="O8" s="856" t="s">
        <v>109</v>
      </c>
      <c r="P8" s="856"/>
      <c r="Q8" s="856"/>
      <c r="R8" s="856"/>
      <c r="S8" s="857"/>
      <c r="T8" s="886" t="s">
        <v>130</v>
      </c>
      <c r="U8" s="887"/>
      <c r="V8" s="887"/>
      <c r="W8" s="887"/>
      <c r="X8" s="888"/>
      <c r="Y8" s="768"/>
      <c r="Z8" s="26" t="s">
        <v>128</v>
      </c>
      <c r="AA8" s="26"/>
      <c r="AB8" s="892">
        <v>43295</v>
      </c>
      <c r="AC8" s="893"/>
      <c r="AD8" s="894"/>
      <c r="AE8" s="157"/>
    </row>
    <row r="9" spans="2:31" ht="13.5" thickBot="1">
      <c r="B9" s="156"/>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57"/>
    </row>
    <row r="10" spans="2:31" ht="18.75">
      <c r="B10" s="156"/>
      <c r="C10" s="161" t="s">
        <v>121</v>
      </c>
      <c r="D10" s="162"/>
      <c r="E10" s="162"/>
      <c r="F10" s="163"/>
      <c r="G10" s="118" t="s">
        <v>3</v>
      </c>
      <c r="H10" s="142" t="s">
        <v>31</v>
      </c>
      <c r="I10" s="764"/>
      <c r="J10" s="164"/>
      <c r="K10" s="165"/>
      <c r="L10" s="165"/>
      <c r="M10" s="165"/>
      <c r="N10" s="165"/>
      <c r="O10" s="165"/>
      <c r="P10" s="165"/>
      <c r="Q10" s="166"/>
      <c r="R10" s="166"/>
      <c r="S10" s="167"/>
      <c r="T10" s="118"/>
      <c r="U10" s="127" t="s">
        <v>237</v>
      </c>
      <c r="V10" s="128"/>
      <c r="W10" s="128"/>
      <c r="X10" s="128"/>
      <c r="Y10" s="128"/>
      <c r="Z10" s="128"/>
      <c r="AA10" s="128"/>
      <c r="AB10" s="128"/>
      <c r="AC10" s="128"/>
      <c r="AD10" s="129"/>
      <c r="AE10" s="157"/>
    </row>
    <row r="11" spans="2:31" ht="15">
      <c r="B11" s="156"/>
      <c r="C11" s="895" t="s">
        <v>119</v>
      </c>
      <c r="D11" s="896"/>
      <c r="E11" s="909" t="s">
        <v>122</v>
      </c>
      <c r="F11" s="910"/>
      <c r="G11" s="118" t="s">
        <v>3</v>
      </c>
      <c r="H11" s="41" t="s">
        <v>4</v>
      </c>
      <c r="I11" s="119"/>
      <c r="J11" s="119"/>
      <c r="K11" s="102"/>
      <c r="L11" s="102"/>
      <c r="M11" s="102"/>
      <c r="N11" s="102"/>
      <c r="O11" s="102"/>
      <c r="P11" s="102"/>
      <c r="Q11" s="120">
        <v>0.03</v>
      </c>
      <c r="R11" s="781"/>
      <c r="S11" s="121"/>
      <c r="T11" s="118"/>
      <c r="U11" s="130" t="s">
        <v>238</v>
      </c>
      <c r="V11" s="131"/>
      <c r="W11" s="131"/>
      <c r="X11" s="28"/>
      <c r="Y11" s="28"/>
      <c r="Z11" s="28"/>
      <c r="AA11" s="132" t="s">
        <v>239</v>
      </c>
      <c r="AB11" s="133"/>
      <c r="AC11" s="28"/>
      <c r="AD11" s="134"/>
      <c r="AE11" s="157"/>
    </row>
    <row r="12" spans="2:33" ht="12.75">
      <c r="B12" s="156"/>
      <c r="C12" s="897"/>
      <c r="D12" s="898"/>
      <c r="E12" s="911"/>
      <c r="F12" s="912"/>
      <c r="G12" s="118" t="s">
        <v>3</v>
      </c>
      <c r="H12" s="895" t="s">
        <v>45</v>
      </c>
      <c r="I12" s="901"/>
      <c r="J12" s="901"/>
      <c r="K12" s="901"/>
      <c r="L12" s="901"/>
      <c r="M12" s="901"/>
      <c r="N12" s="901"/>
      <c r="O12" s="901"/>
      <c r="P12" s="896"/>
      <c r="Q12" s="903" t="s">
        <v>184</v>
      </c>
      <c r="R12" s="904"/>
      <c r="S12" s="905"/>
      <c r="T12" s="118"/>
      <c r="U12" s="858" t="s">
        <v>6</v>
      </c>
      <c r="V12" s="859"/>
      <c r="W12" s="859"/>
      <c r="X12" s="859"/>
      <c r="Y12" s="859"/>
      <c r="Z12" s="860"/>
      <c r="AA12" s="850">
        <f>'Predicted B-C'!T12</f>
        <v>26400</v>
      </c>
      <c r="AB12" s="851"/>
      <c r="AC12" s="851"/>
      <c r="AD12" s="852"/>
      <c r="AE12" s="157"/>
      <c r="AG12" s="735"/>
    </row>
    <row r="13" spans="2:33" ht="12.75">
      <c r="B13" s="156"/>
      <c r="C13" s="897"/>
      <c r="D13" s="898"/>
      <c r="E13" s="911"/>
      <c r="F13" s="912"/>
      <c r="G13" s="118"/>
      <c r="H13" s="899"/>
      <c r="I13" s="902"/>
      <c r="J13" s="902"/>
      <c r="K13" s="902"/>
      <c r="L13" s="902"/>
      <c r="M13" s="902"/>
      <c r="N13" s="902"/>
      <c r="O13" s="902"/>
      <c r="P13" s="900"/>
      <c r="Q13" s="906"/>
      <c r="R13" s="907"/>
      <c r="S13" s="908"/>
      <c r="T13" s="118"/>
      <c r="U13" s="858" t="s">
        <v>290</v>
      </c>
      <c r="V13" s="859"/>
      <c r="W13" s="859"/>
      <c r="X13" s="859"/>
      <c r="Y13" s="859"/>
      <c r="Z13" s="860"/>
      <c r="AA13" s="850">
        <f>'Predicted B-C'!T13</f>
        <v>158700</v>
      </c>
      <c r="AB13" s="851"/>
      <c r="AC13" s="851"/>
      <c r="AD13" s="852"/>
      <c r="AE13" s="157"/>
      <c r="AG13" s="735"/>
    </row>
    <row r="14" spans="2:31" ht="12.75">
      <c r="B14" s="156"/>
      <c r="C14" s="899"/>
      <c r="D14" s="900"/>
      <c r="E14" s="911"/>
      <c r="F14" s="912"/>
      <c r="G14" s="118" t="s">
        <v>3</v>
      </c>
      <c r="H14" s="122" t="s">
        <v>53</v>
      </c>
      <c r="I14" s="123"/>
      <c r="J14" s="123"/>
      <c r="K14" s="124"/>
      <c r="L14" s="124"/>
      <c r="M14" s="124"/>
      <c r="N14" s="124"/>
      <c r="O14" s="124"/>
      <c r="P14" s="124"/>
      <c r="Q14" s="873"/>
      <c r="R14" s="874"/>
      <c r="S14" s="875"/>
      <c r="T14" s="118"/>
      <c r="U14" s="858" t="s">
        <v>7</v>
      </c>
      <c r="V14" s="859"/>
      <c r="W14" s="859"/>
      <c r="X14" s="859"/>
      <c r="Y14" s="859"/>
      <c r="Z14" s="860"/>
      <c r="AA14" s="850">
        <f>'Predicted B-C'!T14</f>
        <v>502000</v>
      </c>
      <c r="AB14" s="851"/>
      <c r="AC14" s="851"/>
      <c r="AD14" s="852"/>
      <c r="AE14" s="157"/>
    </row>
    <row r="15" spans="2:31" ht="12.75">
      <c r="B15" s="156"/>
      <c r="C15" s="41" t="s">
        <v>120</v>
      </c>
      <c r="D15" s="119"/>
      <c r="E15" s="869" t="s">
        <v>123</v>
      </c>
      <c r="F15" s="870"/>
      <c r="G15" s="118" t="s">
        <v>3</v>
      </c>
      <c r="H15" s="122" t="s">
        <v>47</v>
      </c>
      <c r="I15" s="123"/>
      <c r="J15" s="123"/>
      <c r="K15" s="124"/>
      <c r="L15" s="124"/>
      <c r="M15" s="124"/>
      <c r="N15" s="124"/>
      <c r="O15" s="124"/>
      <c r="P15" s="124"/>
      <c r="Q15" s="876">
        <v>40662</v>
      </c>
      <c r="R15" s="877"/>
      <c r="S15" s="878"/>
      <c r="T15" s="118"/>
      <c r="U15" s="858" t="s">
        <v>240</v>
      </c>
      <c r="V15" s="859"/>
      <c r="W15" s="859"/>
      <c r="X15" s="859"/>
      <c r="Y15" s="859"/>
      <c r="Z15" s="860"/>
      <c r="AA15" s="850">
        <f>'Predicted B-C'!T15</f>
        <v>1322000</v>
      </c>
      <c r="AB15" s="851"/>
      <c r="AC15" s="851"/>
      <c r="AD15" s="852"/>
      <c r="AE15" s="157"/>
    </row>
    <row r="16" spans="2:31" ht="13.5" thickBot="1">
      <c r="B16" s="156"/>
      <c r="C16" s="125" t="s">
        <v>127</v>
      </c>
      <c r="D16" s="126"/>
      <c r="E16" s="871">
        <v>12345</v>
      </c>
      <c r="F16" s="872"/>
      <c r="G16" s="118" t="s">
        <v>3</v>
      </c>
      <c r="H16" s="125" t="s">
        <v>118</v>
      </c>
      <c r="I16" s="126"/>
      <c r="J16" s="126"/>
      <c r="K16" s="114"/>
      <c r="L16" s="114"/>
      <c r="M16" s="114"/>
      <c r="N16" s="114"/>
      <c r="O16" s="114"/>
      <c r="P16" s="114"/>
      <c r="Q16" s="879">
        <v>40847</v>
      </c>
      <c r="R16" s="880"/>
      <c r="S16" s="881"/>
      <c r="T16" s="118"/>
      <c r="U16" s="882" t="s">
        <v>8</v>
      </c>
      <c r="V16" s="883"/>
      <c r="W16" s="883"/>
      <c r="X16" s="883"/>
      <c r="Y16" s="883"/>
      <c r="Z16" s="884"/>
      <c r="AA16" s="853">
        <f>'Predicted B-C'!T16</f>
        <v>2645000</v>
      </c>
      <c r="AB16" s="854"/>
      <c r="AC16" s="854"/>
      <c r="AD16" s="855"/>
      <c r="AE16" s="157"/>
    </row>
    <row r="17" spans="2:31" ht="13.5" thickBot="1">
      <c r="B17" s="156"/>
      <c r="C17" s="118" t="s">
        <v>3</v>
      </c>
      <c r="D17" s="118" t="s">
        <v>3</v>
      </c>
      <c r="E17" s="118" t="s">
        <v>3</v>
      </c>
      <c r="F17" s="118" t="s">
        <v>3</v>
      </c>
      <c r="G17" s="118" t="s">
        <v>3</v>
      </c>
      <c r="H17" s="168"/>
      <c r="I17" s="168"/>
      <c r="J17" s="118" t="s">
        <v>3</v>
      </c>
      <c r="K17" s="118" t="s">
        <v>3</v>
      </c>
      <c r="L17" s="118" t="s">
        <v>3</v>
      </c>
      <c r="M17" s="118"/>
      <c r="N17" s="118" t="s">
        <v>3</v>
      </c>
      <c r="O17" s="118" t="s">
        <v>3</v>
      </c>
      <c r="P17" s="118" t="s">
        <v>3</v>
      </c>
      <c r="Q17" s="118" t="s">
        <v>3</v>
      </c>
      <c r="R17" s="118"/>
      <c r="S17" s="118" t="s">
        <v>3</v>
      </c>
      <c r="T17" s="118"/>
      <c r="U17" s="118"/>
      <c r="V17" s="118"/>
      <c r="W17" s="118"/>
      <c r="X17" s="118"/>
      <c r="Y17" s="118"/>
      <c r="Z17" s="118"/>
      <c r="AA17" s="118"/>
      <c r="AB17" s="118"/>
      <c r="AC17" s="118"/>
      <c r="AD17" s="118"/>
      <c r="AE17" s="157"/>
    </row>
    <row r="18" spans="2:31" ht="18.75">
      <c r="B18" s="156"/>
      <c r="C18" s="142" t="s">
        <v>257</v>
      </c>
      <c r="D18" s="169"/>
      <c r="E18" s="169"/>
      <c r="F18" s="169"/>
      <c r="G18" s="169"/>
      <c r="H18" s="169"/>
      <c r="I18" s="169"/>
      <c r="J18" s="169"/>
      <c r="K18" s="169"/>
      <c r="L18" s="170"/>
      <c r="M18" s="170"/>
      <c r="N18" s="170"/>
      <c r="O18" s="169"/>
      <c r="P18" s="171"/>
      <c r="Q18" s="118"/>
      <c r="R18" s="118"/>
      <c r="S18" s="118"/>
      <c r="T18" s="142" t="s">
        <v>258</v>
      </c>
      <c r="U18" s="143"/>
      <c r="V18" s="143"/>
      <c r="W18" s="143"/>
      <c r="X18" s="143"/>
      <c r="Y18" s="143"/>
      <c r="Z18" s="144"/>
      <c r="AA18" s="145"/>
      <c r="AB18" s="145"/>
      <c r="AC18" s="145"/>
      <c r="AD18" s="118"/>
      <c r="AE18" s="157"/>
    </row>
    <row r="19" spans="2:31" ht="14.25">
      <c r="B19" s="156"/>
      <c r="C19" s="172" t="s">
        <v>43</v>
      </c>
      <c r="D19" s="173"/>
      <c r="E19" s="174" t="s">
        <v>48</v>
      </c>
      <c r="F19" s="175" t="s">
        <v>49</v>
      </c>
      <c r="G19" s="174" t="s">
        <v>50</v>
      </c>
      <c r="H19" s="176" t="s">
        <v>9</v>
      </c>
      <c r="I19" s="176" t="s">
        <v>289</v>
      </c>
      <c r="J19" s="176" t="s">
        <v>10</v>
      </c>
      <c r="K19" s="176" t="s">
        <v>11</v>
      </c>
      <c r="L19" s="774" t="s">
        <v>12</v>
      </c>
      <c r="M19" s="177" t="s">
        <v>63</v>
      </c>
      <c r="N19" s="178"/>
      <c r="O19" s="25" t="s">
        <v>46</v>
      </c>
      <c r="P19" s="179"/>
      <c r="Q19" s="118"/>
      <c r="R19" s="118"/>
      <c r="S19" s="118"/>
      <c r="T19" s="146" t="s">
        <v>76</v>
      </c>
      <c r="U19" s="136"/>
      <c r="V19" s="136"/>
      <c r="W19" s="136"/>
      <c r="X19" s="136"/>
      <c r="Y19" s="136" t="s">
        <v>3</v>
      </c>
      <c r="Z19" s="136" t="s">
        <v>3</v>
      </c>
      <c r="AA19" s="863" t="s">
        <v>229</v>
      </c>
      <c r="AB19" s="864"/>
      <c r="AC19" s="865"/>
      <c r="AD19" s="118"/>
      <c r="AE19" s="157"/>
    </row>
    <row r="20" spans="2:34" ht="14.25">
      <c r="B20" s="156"/>
      <c r="C20" s="101"/>
      <c r="D20" s="180"/>
      <c r="E20" s="97" t="s">
        <v>52</v>
      </c>
      <c r="F20" s="96" t="s">
        <v>52</v>
      </c>
      <c r="G20" s="97" t="s">
        <v>51</v>
      </c>
      <c r="H20" s="176"/>
      <c r="I20" s="176"/>
      <c r="J20" s="176"/>
      <c r="K20" s="176"/>
      <c r="L20" s="176"/>
      <c r="M20" s="181" t="s">
        <v>64</v>
      </c>
      <c r="N20" s="182"/>
      <c r="O20" s="30" t="s">
        <v>62</v>
      </c>
      <c r="P20" s="183"/>
      <c r="Q20" s="118"/>
      <c r="R20" s="118"/>
      <c r="S20" s="118"/>
      <c r="T20" s="146" t="s">
        <v>259</v>
      </c>
      <c r="U20" s="136"/>
      <c r="V20" s="136"/>
      <c r="W20" s="136"/>
      <c r="X20" s="136"/>
      <c r="Y20" s="136"/>
      <c r="Z20" s="136"/>
      <c r="AA20" s="939">
        <v>0</v>
      </c>
      <c r="AB20" s="940"/>
      <c r="AC20" s="941"/>
      <c r="AD20" s="118"/>
      <c r="AE20" s="157"/>
      <c r="AG20" s="540"/>
      <c r="AH20" s="531"/>
    </row>
    <row r="21" spans="2:37" ht="14.25">
      <c r="B21" s="156"/>
      <c r="C21" s="101" t="s">
        <v>200</v>
      </c>
      <c r="D21" s="102"/>
      <c r="E21" s="103">
        <f>'Predicted B-C'!E8</f>
        <v>39813</v>
      </c>
      <c r="F21" s="103">
        <f>'Predicted B-C'!H8</f>
        <v>41638</v>
      </c>
      <c r="G21" s="104">
        <v>5</v>
      </c>
      <c r="H21" s="105">
        <v>29</v>
      </c>
      <c r="I21" s="105"/>
      <c r="J21" s="105">
        <v>12</v>
      </c>
      <c r="K21" s="105">
        <v>6</v>
      </c>
      <c r="L21" s="105"/>
      <c r="M21" s="918">
        <f>SUM(H21:L21)</f>
        <v>47</v>
      </c>
      <c r="N21" s="919"/>
      <c r="O21" s="937">
        <v>10000</v>
      </c>
      <c r="P21" s="938"/>
      <c r="Q21" s="118"/>
      <c r="R21" s="118"/>
      <c r="S21" s="118"/>
      <c r="T21" s="147" t="s">
        <v>106</v>
      </c>
      <c r="U21" s="148"/>
      <c r="V21" s="148"/>
      <c r="W21" s="148"/>
      <c r="X21" s="148"/>
      <c r="Y21" s="148"/>
      <c r="Z21" s="148"/>
      <c r="AA21" s="942"/>
      <c r="AB21" s="943"/>
      <c r="AC21" s="944"/>
      <c r="AD21" s="118"/>
      <c r="AE21" s="157"/>
      <c r="AG21" s="531"/>
      <c r="AH21" s="531"/>
      <c r="AK21" s="535"/>
    </row>
    <row r="22" spans="2:37" ht="14.25">
      <c r="B22" s="156"/>
      <c r="C22" s="101" t="s">
        <v>54</v>
      </c>
      <c r="D22" s="102"/>
      <c r="E22" s="106">
        <v>39082</v>
      </c>
      <c r="F22" s="106">
        <v>40542</v>
      </c>
      <c r="G22" s="107">
        <v>2</v>
      </c>
      <c r="H22" s="108">
        <v>12</v>
      </c>
      <c r="I22" s="108"/>
      <c r="J22" s="108">
        <v>3</v>
      </c>
      <c r="K22" s="108">
        <v>3</v>
      </c>
      <c r="L22" s="108"/>
      <c r="M22" s="918">
        <f>SUM(H22:L22)</f>
        <v>18</v>
      </c>
      <c r="N22" s="919"/>
      <c r="O22" s="861">
        <v>10500</v>
      </c>
      <c r="P22" s="862"/>
      <c r="Q22" s="118"/>
      <c r="R22" s="118"/>
      <c r="S22" s="118"/>
      <c r="T22" s="147" t="s">
        <v>107</v>
      </c>
      <c r="U22" s="148"/>
      <c r="V22" s="148"/>
      <c r="W22" s="148"/>
      <c r="X22" s="148"/>
      <c r="Y22" s="148"/>
      <c r="Z22" s="148"/>
      <c r="AA22" s="942"/>
      <c r="AB22" s="943"/>
      <c r="AC22" s="944"/>
      <c r="AD22" s="118"/>
      <c r="AE22" s="157"/>
      <c r="AG22" s="531"/>
      <c r="AH22" s="531"/>
      <c r="AK22" s="535"/>
    </row>
    <row r="23" spans="2:37" ht="15" thickBot="1">
      <c r="B23" s="156"/>
      <c r="C23" s="109" t="s">
        <v>65</v>
      </c>
      <c r="D23" s="102"/>
      <c r="E23" s="110">
        <f>E21</f>
        <v>39813</v>
      </c>
      <c r="F23" s="110">
        <f>F22</f>
        <v>40542</v>
      </c>
      <c r="G23" s="111">
        <f aca="true" t="shared" si="0" ref="G23:L23">G21+G22</f>
        <v>7</v>
      </c>
      <c r="H23" s="112">
        <f t="shared" si="0"/>
        <v>41</v>
      </c>
      <c r="I23" s="112">
        <f t="shared" si="0"/>
        <v>0</v>
      </c>
      <c r="J23" s="112">
        <f t="shared" si="0"/>
        <v>15</v>
      </c>
      <c r="K23" s="112">
        <f t="shared" si="0"/>
        <v>9</v>
      </c>
      <c r="L23" s="731">
        <f t="shared" si="0"/>
        <v>0</v>
      </c>
      <c r="M23" s="920">
        <f>SUM(H23:L23)</f>
        <v>65</v>
      </c>
      <c r="N23" s="921"/>
      <c r="O23" s="924">
        <f>(O21*G21+O22*G22)/(G21+G22)</f>
        <v>10142.857142857143</v>
      </c>
      <c r="P23" s="925"/>
      <c r="Q23" s="118"/>
      <c r="R23" s="118"/>
      <c r="S23" s="118"/>
      <c r="T23" s="149"/>
      <c r="U23" s="140"/>
      <c r="V23" s="140"/>
      <c r="W23" s="140"/>
      <c r="X23" s="140"/>
      <c r="Y23" s="140"/>
      <c r="Z23" s="140"/>
      <c r="AA23" s="945"/>
      <c r="AB23" s="946"/>
      <c r="AC23" s="947"/>
      <c r="AD23" s="118"/>
      <c r="AE23" s="157"/>
      <c r="AG23" s="531"/>
      <c r="AH23" s="531"/>
      <c r="AK23" s="535"/>
    </row>
    <row r="24" spans="2:37" ht="13.5" thickBot="1">
      <c r="B24" s="156"/>
      <c r="C24" s="113" t="s">
        <v>55</v>
      </c>
      <c r="D24" s="114"/>
      <c r="E24" s="115">
        <v>40908</v>
      </c>
      <c r="F24" s="115">
        <v>42003</v>
      </c>
      <c r="G24" s="116">
        <v>3</v>
      </c>
      <c r="H24" s="117">
        <v>13</v>
      </c>
      <c r="I24" s="117"/>
      <c r="J24" s="117">
        <v>6</v>
      </c>
      <c r="K24" s="117">
        <v>2</v>
      </c>
      <c r="L24" s="733">
        <v>0</v>
      </c>
      <c r="M24" s="922">
        <f>SUM(H24:L24)</f>
        <v>21</v>
      </c>
      <c r="N24" s="923"/>
      <c r="O24" s="916">
        <v>11000</v>
      </c>
      <c r="P24" s="917"/>
      <c r="Q24" s="118"/>
      <c r="R24" s="118"/>
      <c r="S24" s="118"/>
      <c r="T24" s="118"/>
      <c r="U24" s="118"/>
      <c r="V24" s="118"/>
      <c r="W24" s="118"/>
      <c r="X24" s="118"/>
      <c r="Y24" s="118"/>
      <c r="Z24" s="118"/>
      <c r="AA24" s="118"/>
      <c r="AB24" s="118"/>
      <c r="AC24" s="118"/>
      <c r="AD24" s="118"/>
      <c r="AE24" s="157"/>
      <c r="AK24" s="535"/>
    </row>
    <row r="25" spans="2:31" ht="12.75">
      <c r="B25" s="156"/>
      <c r="C25" s="118"/>
      <c r="D25" s="118"/>
      <c r="E25" s="118"/>
      <c r="F25" s="118"/>
      <c r="G25" s="118"/>
      <c r="H25" s="168"/>
      <c r="I25" s="168"/>
      <c r="J25" s="118"/>
      <c r="K25" s="118"/>
      <c r="L25" s="118"/>
      <c r="M25" s="118"/>
      <c r="N25" s="118"/>
      <c r="O25" s="118"/>
      <c r="P25" s="118"/>
      <c r="Q25" s="118"/>
      <c r="R25" s="118"/>
      <c r="S25" s="118"/>
      <c r="T25" s="118"/>
      <c r="U25" s="118"/>
      <c r="V25" s="118"/>
      <c r="W25" s="118"/>
      <c r="X25" s="118"/>
      <c r="Y25" s="118"/>
      <c r="Z25" s="118"/>
      <c r="AA25" s="118"/>
      <c r="AB25" s="118"/>
      <c r="AC25" s="118"/>
      <c r="AD25" s="118"/>
      <c r="AE25" s="157"/>
    </row>
    <row r="26" spans="2:31" ht="13.5" thickBot="1">
      <c r="B26" s="156"/>
      <c r="C26" s="118"/>
      <c r="D26" s="118"/>
      <c r="E26" s="118"/>
      <c r="F26" s="118"/>
      <c r="G26" s="118"/>
      <c r="H26" s="168"/>
      <c r="I26" s="168"/>
      <c r="J26" s="118"/>
      <c r="K26" s="118"/>
      <c r="L26" s="118"/>
      <c r="M26" s="118"/>
      <c r="N26" s="118"/>
      <c r="O26" s="118"/>
      <c r="P26" s="118"/>
      <c r="Q26" s="118"/>
      <c r="R26" s="118"/>
      <c r="S26" s="118"/>
      <c r="T26" s="118"/>
      <c r="U26" s="118"/>
      <c r="V26" s="118"/>
      <c r="W26" s="118"/>
      <c r="X26" s="118"/>
      <c r="Y26" s="118"/>
      <c r="Z26" s="118"/>
      <c r="AA26" s="118"/>
      <c r="AB26" s="118"/>
      <c r="AC26" s="118"/>
      <c r="AD26" s="118"/>
      <c r="AE26" s="157"/>
    </row>
    <row r="27" spans="2:36" ht="19.5" thickBot="1">
      <c r="B27" s="156"/>
      <c r="C27" s="185" t="s">
        <v>260</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7"/>
      <c r="AE27" s="157"/>
      <c r="AJ27"/>
    </row>
    <row r="28" spans="2:31" ht="12.75">
      <c r="B28" s="156"/>
      <c r="C28" s="188" t="s">
        <v>13</v>
      </c>
      <c r="D28" s="189" t="s">
        <v>242</v>
      </c>
      <c r="E28" s="190"/>
      <c r="F28" s="190"/>
      <c r="G28" s="190"/>
      <c r="H28" s="190"/>
      <c r="I28" s="190"/>
      <c r="J28" s="190"/>
      <c r="K28" s="190"/>
      <c r="L28" s="191" t="s">
        <v>87</v>
      </c>
      <c r="M28" s="190"/>
      <c r="N28" s="192"/>
      <c r="O28" s="192"/>
      <c r="P28" s="192"/>
      <c r="Q28" s="190"/>
      <c r="R28" s="190"/>
      <c r="S28" s="192"/>
      <c r="T28" s="192"/>
      <c r="U28" s="193"/>
      <c r="V28" s="192"/>
      <c r="W28" s="192"/>
      <c r="X28" s="191" t="s">
        <v>95</v>
      </c>
      <c r="Y28" s="190"/>
      <c r="Z28" s="192"/>
      <c r="AA28" s="192"/>
      <c r="AB28" s="192"/>
      <c r="AC28" s="192"/>
      <c r="AD28" s="194"/>
      <c r="AE28" s="157"/>
    </row>
    <row r="29" spans="2:31" ht="12.75">
      <c r="B29" s="156"/>
      <c r="C29" s="195"/>
      <c r="D29" s="196" t="s">
        <v>38</v>
      </c>
      <c r="E29" s="197"/>
      <c r="F29" s="197"/>
      <c r="G29" s="197"/>
      <c r="H29" s="197"/>
      <c r="I29" s="197"/>
      <c r="J29" s="197"/>
      <c r="K29" s="197"/>
      <c r="L29" s="198" t="s">
        <v>201</v>
      </c>
      <c r="M29" s="199"/>
      <c r="N29" s="199"/>
      <c r="O29" s="199"/>
      <c r="P29" s="199"/>
      <c r="Q29" s="200" t="s">
        <v>44</v>
      </c>
      <c r="R29" s="199"/>
      <c r="S29" s="199"/>
      <c r="T29" s="199"/>
      <c r="U29" s="199"/>
      <c r="V29" s="201" t="s">
        <v>85</v>
      </c>
      <c r="W29" s="202" t="s">
        <v>85</v>
      </c>
      <c r="X29" s="203" t="str">
        <f>(MONTH(E24)&amp;"/"&amp;DAY(E24)&amp;"/"&amp;YEAR(E24)&amp;" to "&amp;MONTH(F24)&amp;"/"&amp;DAY(F24)&amp;"/"&amp;YEAR(F24))</f>
        <v>1/1/2016 to 12/31/2018</v>
      </c>
      <c r="Y29" s="204"/>
      <c r="Z29" s="204"/>
      <c r="AA29" s="204"/>
      <c r="AB29" s="204"/>
      <c r="AC29" s="766" t="s">
        <v>85</v>
      </c>
      <c r="AD29" s="205" t="s">
        <v>85</v>
      </c>
      <c r="AE29" s="157"/>
    </row>
    <row r="30" spans="2:31" ht="12.75">
      <c r="B30" s="156"/>
      <c r="C30" s="195"/>
      <c r="D30" s="196" t="s">
        <v>225</v>
      </c>
      <c r="E30" s="197"/>
      <c r="F30" s="197"/>
      <c r="G30" s="197"/>
      <c r="H30" s="197"/>
      <c r="I30" s="197"/>
      <c r="J30" s="197"/>
      <c r="K30" s="197"/>
      <c r="L30" s="203" t="str">
        <f>(MONTH(E21)&amp;"/"&amp;DAY(E21)&amp;"/"&amp;YEAR(E21)&amp;" to "&amp;MONTH(F21)&amp;"/"&amp;DAY(F21)&amp;"/"&amp;YEAR(F21))</f>
        <v>1/1/2013 to 12/31/2017</v>
      </c>
      <c r="M30" s="204"/>
      <c r="N30" s="204"/>
      <c r="O30" s="204"/>
      <c r="P30" s="206"/>
      <c r="Q30" s="207" t="str">
        <f>(MONTH(E22)&amp;"/"&amp;DAY(E22)&amp;"/"&amp;YEAR(E22)&amp;" to "&amp;MONTH(F22)&amp;"/"&amp;DAY(F22)&amp;"/"&amp;YEAR(F22))</f>
        <v>1/1/2011 to 12/31/2014</v>
      </c>
      <c r="R30" s="204"/>
      <c r="S30" s="204"/>
      <c r="T30" s="204"/>
      <c r="U30" s="204"/>
      <c r="V30" s="208" t="s">
        <v>94</v>
      </c>
      <c r="W30" s="209" t="s">
        <v>252</v>
      </c>
      <c r="X30" s="948" t="s">
        <v>9</v>
      </c>
      <c r="Y30" s="769"/>
      <c r="Z30" s="932" t="s">
        <v>10</v>
      </c>
      <c r="AA30" s="932" t="s">
        <v>244</v>
      </c>
      <c r="AB30" s="932" t="s">
        <v>12</v>
      </c>
      <c r="AC30" s="767" t="s">
        <v>94</v>
      </c>
      <c r="AD30" s="210" t="s">
        <v>252</v>
      </c>
      <c r="AE30" s="157"/>
    </row>
    <row r="31" spans="2:31" ht="12.75">
      <c r="B31" s="156"/>
      <c r="C31" s="211"/>
      <c r="D31" s="196"/>
      <c r="E31" s="197"/>
      <c r="F31" s="197"/>
      <c r="G31" s="197"/>
      <c r="H31" s="197"/>
      <c r="I31" s="197"/>
      <c r="J31" s="197"/>
      <c r="K31" s="212"/>
      <c r="L31" s="934" t="s">
        <v>9</v>
      </c>
      <c r="M31" s="932" t="s">
        <v>289</v>
      </c>
      <c r="N31" s="932" t="s">
        <v>10</v>
      </c>
      <c r="O31" s="932" t="s">
        <v>244</v>
      </c>
      <c r="P31" s="932" t="s">
        <v>12</v>
      </c>
      <c r="Q31" s="932" t="s">
        <v>9</v>
      </c>
      <c r="R31" s="932" t="s">
        <v>289</v>
      </c>
      <c r="S31" s="932" t="s">
        <v>10</v>
      </c>
      <c r="T31" s="932" t="s">
        <v>244</v>
      </c>
      <c r="U31" s="932" t="s">
        <v>12</v>
      </c>
      <c r="V31" s="213" t="s">
        <v>18</v>
      </c>
      <c r="W31" s="214" t="s">
        <v>5</v>
      </c>
      <c r="X31" s="949"/>
      <c r="Y31" s="216" t="s">
        <v>289</v>
      </c>
      <c r="Z31" s="951"/>
      <c r="AA31" s="951"/>
      <c r="AB31" s="951"/>
      <c r="AC31" s="213" t="s">
        <v>18</v>
      </c>
      <c r="AD31" s="215" t="s">
        <v>5</v>
      </c>
      <c r="AE31" s="157"/>
    </row>
    <row r="32" spans="2:31" ht="12.75">
      <c r="B32" s="156"/>
      <c r="C32" s="211"/>
      <c r="D32" s="196"/>
      <c r="E32" s="197"/>
      <c r="F32" s="197"/>
      <c r="G32" s="197"/>
      <c r="H32" s="197"/>
      <c r="I32" s="197"/>
      <c r="J32" s="197"/>
      <c r="K32" s="197"/>
      <c r="L32" s="935"/>
      <c r="M32" s="933"/>
      <c r="N32" s="933"/>
      <c r="O32" s="933"/>
      <c r="P32" s="933"/>
      <c r="Q32" s="936"/>
      <c r="R32" s="936"/>
      <c r="S32" s="936"/>
      <c r="T32" s="936"/>
      <c r="U32" s="936"/>
      <c r="V32" s="213" t="s">
        <v>251</v>
      </c>
      <c r="W32" s="214" t="s">
        <v>83</v>
      </c>
      <c r="X32" s="950"/>
      <c r="Y32" s="770"/>
      <c r="Z32" s="936"/>
      <c r="AA32" s="936"/>
      <c r="AB32" s="936"/>
      <c r="AC32" s="213" t="s">
        <v>251</v>
      </c>
      <c r="AD32" s="215" t="s">
        <v>83</v>
      </c>
      <c r="AE32" s="157"/>
    </row>
    <row r="33" spans="2:31" ht="12.75" customHeight="1">
      <c r="B33" s="156"/>
      <c r="C33" s="702" t="str">
        <f>'Predicted B-C'!D22</f>
        <v>Intersection Illumination</v>
      </c>
      <c r="D33" s="929" t="str">
        <f>'Predicted B-C'!E22</f>
        <v>Night Crashes at unlighted intersections</v>
      </c>
      <c r="E33" s="930"/>
      <c r="F33" s="930"/>
      <c r="G33" s="930"/>
      <c r="H33" s="930"/>
      <c r="I33" s="930"/>
      <c r="J33" s="930"/>
      <c r="K33" s="931"/>
      <c r="L33" s="784">
        <f>'Predicted B-C'!R22</f>
        <v>6</v>
      </c>
      <c r="M33" s="705">
        <f>'Predicted B-C'!S22</f>
        <v>0</v>
      </c>
      <c r="N33" s="703">
        <f>'Predicted B-C'!T22</f>
        <v>2</v>
      </c>
      <c r="O33" s="704">
        <f>'Predicted B-C'!U22</f>
        <v>1</v>
      </c>
      <c r="P33" s="705">
        <f>'Predicted B-C'!V22</f>
        <v>0</v>
      </c>
      <c r="Q33" s="706">
        <v>2</v>
      </c>
      <c r="R33" s="706"/>
      <c r="S33" s="707"/>
      <c r="T33" s="707">
        <v>1</v>
      </c>
      <c r="U33" s="708"/>
      <c r="V33" s="705">
        <f aca="true" t="shared" si="1" ref="V33:V44">SUM(L33:U33)</f>
        <v>12</v>
      </c>
      <c r="W33" s="703">
        <f>((L33+Q33)*$AA$12+(M33+R33)*$AA$13+(N33+S33)*$AA$14+(O33+T33)*$AA$15+(P33+U33)*$AA$16)/1000</f>
        <v>3859.2</v>
      </c>
      <c r="X33" s="709">
        <v>2</v>
      </c>
      <c r="Y33" s="772"/>
      <c r="Z33" s="866">
        <v>0</v>
      </c>
      <c r="AA33" s="707"/>
      <c r="AB33" s="708">
        <v>0</v>
      </c>
      <c r="AC33" s="705">
        <f>SUM(X33:AB33)</f>
        <v>2</v>
      </c>
      <c r="AD33" s="710">
        <f>(X33*$AA$12+Y33*$AA$13+Z33*$AA$14+AA33*$AA$15+AB33*$AA$16)/1000</f>
        <v>52.8</v>
      </c>
      <c r="AE33" s="157"/>
    </row>
    <row r="34" spans="2:31" ht="12.75">
      <c r="B34" s="156"/>
      <c r="C34" s="711">
        <f>'Predicted B-C'!D23</f>
        <v>0</v>
      </c>
      <c r="D34" s="926">
        <f>'Predicted B-C'!E23</f>
        <v>0</v>
      </c>
      <c r="E34" s="927"/>
      <c r="F34" s="927"/>
      <c r="G34" s="927"/>
      <c r="H34" s="927"/>
      <c r="I34" s="927"/>
      <c r="J34" s="927"/>
      <c r="K34" s="928"/>
      <c r="L34" s="785">
        <f>'Predicted B-C'!R23</f>
        <v>0</v>
      </c>
      <c r="M34" s="782">
        <f>'Predicted B-C'!S23</f>
        <v>0</v>
      </c>
      <c r="N34" s="712">
        <f>'Predicted B-C'!T23</f>
        <v>0</v>
      </c>
      <c r="O34" s="713">
        <f>'Predicted B-C'!U23</f>
        <v>0</v>
      </c>
      <c r="P34" s="714">
        <f>'Predicted B-C'!V23</f>
        <v>0</v>
      </c>
      <c r="Q34" s="715"/>
      <c r="R34" s="715"/>
      <c r="S34" s="716"/>
      <c r="T34" s="716"/>
      <c r="U34" s="717"/>
      <c r="V34" s="714">
        <f t="shared" si="1"/>
        <v>0</v>
      </c>
      <c r="W34" s="703">
        <f aca="true" t="shared" si="2" ref="W34:W44">((L34+Q34)*$AA$12+(M34+R34)*$AA$13+(N34+S34)*$AA$14+(O34+T34)*$AA$15+(P34+U34)*$AA$16)/1000</f>
        <v>0</v>
      </c>
      <c r="X34" s="718"/>
      <c r="Y34" s="773"/>
      <c r="Z34" s="867"/>
      <c r="AA34" s="716"/>
      <c r="AB34" s="717"/>
      <c r="AC34" s="714">
        <f aca="true" t="shared" si="3" ref="AC34:AC44">SUM(X34:AB34)</f>
        <v>0</v>
      </c>
      <c r="AD34" s="710">
        <f aca="true" t="shared" si="4" ref="AD34:AD44">(X34*$AA$12+Y34*$AA$13+Z34*$AA$14+AA34*$AA$15+AB34*$AA$16)/1000</f>
        <v>0</v>
      </c>
      <c r="AE34" s="157"/>
    </row>
    <row r="35" spans="2:31" ht="12.75">
      <c r="B35" s="156"/>
      <c r="C35" s="711">
        <f>'Predicted B-C'!D24</f>
        <v>0</v>
      </c>
      <c r="D35" s="913">
        <f>'Predicted B-C'!E24</f>
        <v>0</v>
      </c>
      <c r="E35" s="914"/>
      <c r="F35" s="914"/>
      <c r="G35" s="914"/>
      <c r="H35" s="914"/>
      <c r="I35" s="914"/>
      <c r="J35" s="914"/>
      <c r="K35" s="915"/>
      <c r="L35" s="785">
        <f>'Predicted B-C'!R24</f>
        <v>0</v>
      </c>
      <c r="M35" s="782">
        <f>'Predicted B-C'!S24</f>
        <v>0</v>
      </c>
      <c r="N35" s="712">
        <f>'Predicted B-C'!T24</f>
        <v>0</v>
      </c>
      <c r="O35" s="719">
        <f>'Predicted B-C'!U24</f>
        <v>0</v>
      </c>
      <c r="P35" s="714">
        <f>'Predicted B-C'!V24</f>
        <v>0</v>
      </c>
      <c r="Q35" s="715"/>
      <c r="R35" s="715"/>
      <c r="S35" s="716"/>
      <c r="T35" s="716"/>
      <c r="U35" s="717"/>
      <c r="V35" s="714">
        <f t="shared" si="1"/>
        <v>0</v>
      </c>
      <c r="W35" s="703">
        <f t="shared" si="2"/>
        <v>0</v>
      </c>
      <c r="X35" s="718"/>
      <c r="Y35" s="771"/>
      <c r="Z35" s="868"/>
      <c r="AA35" s="716"/>
      <c r="AB35" s="717"/>
      <c r="AC35" s="714">
        <f t="shared" si="3"/>
        <v>0</v>
      </c>
      <c r="AD35" s="710">
        <f t="shared" si="4"/>
        <v>0</v>
      </c>
      <c r="AE35" s="157"/>
    </row>
    <row r="36" spans="2:31" ht="33.75" customHeight="1">
      <c r="B36" s="156"/>
      <c r="C36" s="702" t="str">
        <f>'Predicted B-C'!D25</f>
        <v>Install Lt Turn Pocket at Rural, Unsignalized Intersection (Major Road Approach Only)</v>
      </c>
      <c r="D36" s="929" t="str">
        <f>'Predicted B-C'!E25</f>
        <v>Rear-ends and side-swipes involving turning cars making the target movement</v>
      </c>
      <c r="E36" s="930"/>
      <c r="F36" s="930"/>
      <c r="G36" s="930"/>
      <c r="H36" s="930"/>
      <c r="I36" s="930"/>
      <c r="J36" s="930"/>
      <c r="K36" s="931"/>
      <c r="L36" s="784">
        <f>'Predicted B-C'!R25</f>
        <v>5</v>
      </c>
      <c r="M36" s="705">
        <f>'Predicted B-C'!S25</f>
        <v>0</v>
      </c>
      <c r="N36" s="704">
        <f>'Predicted B-C'!T25</f>
        <v>2</v>
      </c>
      <c r="O36" s="704">
        <f>'Predicted B-C'!U25</f>
        <v>2</v>
      </c>
      <c r="P36" s="705">
        <f>'Predicted B-C'!V25</f>
        <v>0</v>
      </c>
      <c r="Q36" s="706">
        <v>1</v>
      </c>
      <c r="R36" s="706"/>
      <c r="S36" s="707">
        <v>1</v>
      </c>
      <c r="T36" s="707">
        <v>1</v>
      </c>
      <c r="U36" s="708">
        <v>0</v>
      </c>
      <c r="V36" s="705">
        <f t="shared" si="1"/>
        <v>12</v>
      </c>
      <c r="W36" s="703">
        <f t="shared" si="2"/>
        <v>5630.4</v>
      </c>
      <c r="X36" s="709">
        <v>1</v>
      </c>
      <c r="Y36" s="772"/>
      <c r="Z36" s="707">
        <v>0</v>
      </c>
      <c r="AA36" s="707">
        <v>1</v>
      </c>
      <c r="AB36" s="708">
        <v>0</v>
      </c>
      <c r="AC36" s="705">
        <f t="shared" si="3"/>
        <v>2</v>
      </c>
      <c r="AD36" s="710">
        <f t="shared" si="4"/>
        <v>1348.4</v>
      </c>
      <c r="AE36" s="157"/>
    </row>
    <row r="37" spans="2:31" ht="12.75">
      <c r="B37" s="156"/>
      <c r="C37" s="711">
        <f>'Predicted B-C'!D26</f>
        <v>0</v>
      </c>
      <c r="D37" s="926">
        <f>'Predicted B-C'!E26</f>
        <v>0</v>
      </c>
      <c r="E37" s="927"/>
      <c r="F37" s="927"/>
      <c r="G37" s="927"/>
      <c r="H37" s="927"/>
      <c r="I37" s="927"/>
      <c r="J37" s="927"/>
      <c r="K37" s="928"/>
      <c r="L37" s="785">
        <f>'Predicted B-C'!R26</f>
        <v>0</v>
      </c>
      <c r="M37" s="782">
        <f>'Predicted B-C'!S26</f>
        <v>0</v>
      </c>
      <c r="N37" s="713">
        <f>'Predicted B-C'!T26</f>
        <v>0</v>
      </c>
      <c r="O37" s="713">
        <f>'Predicted B-C'!U26</f>
        <v>0</v>
      </c>
      <c r="P37" s="714">
        <f>'Predicted B-C'!V26</f>
        <v>0</v>
      </c>
      <c r="Q37" s="715"/>
      <c r="R37" s="715"/>
      <c r="S37" s="716"/>
      <c r="T37" s="716"/>
      <c r="U37" s="717"/>
      <c r="V37" s="714">
        <f t="shared" si="1"/>
        <v>0</v>
      </c>
      <c r="W37" s="703">
        <f t="shared" si="2"/>
        <v>0</v>
      </c>
      <c r="X37" s="718"/>
      <c r="Y37" s="773"/>
      <c r="Z37" s="716"/>
      <c r="AA37" s="716"/>
      <c r="AB37" s="717"/>
      <c r="AC37" s="714">
        <f t="shared" si="3"/>
        <v>0</v>
      </c>
      <c r="AD37" s="710">
        <f t="shared" si="4"/>
        <v>0</v>
      </c>
      <c r="AE37" s="157"/>
    </row>
    <row r="38" spans="2:31" ht="12.75">
      <c r="B38" s="156"/>
      <c r="C38" s="711">
        <f>'Predicted B-C'!D27</f>
        <v>0</v>
      </c>
      <c r="D38" s="913">
        <f>'Predicted B-C'!E27</f>
        <v>0</v>
      </c>
      <c r="E38" s="914"/>
      <c r="F38" s="914"/>
      <c r="G38" s="914"/>
      <c r="H38" s="914"/>
      <c r="I38" s="914"/>
      <c r="J38" s="914"/>
      <c r="K38" s="915"/>
      <c r="L38" s="786">
        <f>'Predicted B-C'!R27</f>
        <v>0</v>
      </c>
      <c r="M38" s="783">
        <f>'Predicted B-C'!S27</f>
        <v>0</v>
      </c>
      <c r="N38" s="719">
        <f>'Predicted B-C'!T27</f>
        <v>0</v>
      </c>
      <c r="O38" s="719">
        <f>'Predicted B-C'!U27</f>
        <v>0</v>
      </c>
      <c r="P38" s="720">
        <f>'Predicted B-C'!V27</f>
        <v>0</v>
      </c>
      <c r="Q38" s="721"/>
      <c r="R38" s="721"/>
      <c r="S38" s="722"/>
      <c r="T38" s="722"/>
      <c r="U38" s="723"/>
      <c r="V38" s="714">
        <f t="shared" si="1"/>
        <v>0</v>
      </c>
      <c r="W38" s="703">
        <f t="shared" si="2"/>
        <v>0</v>
      </c>
      <c r="X38" s="724"/>
      <c r="Y38" s="771"/>
      <c r="Z38" s="722"/>
      <c r="AA38" s="722"/>
      <c r="AB38" s="723"/>
      <c r="AC38" s="714">
        <f t="shared" si="3"/>
        <v>0</v>
      </c>
      <c r="AD38" s="710">
        <f t="shared" si="4"/>
        <v>0</v>
      </c>
      <c r="AE38" s="157"/>
    </row>
    <row r="39" spans="2:31" ht="12.75" customHeight="1">
      <c r="B39" s="156"/>
      <c r="C39" s="702" t="str">
        <f>'Predicted B-C'!D28</f>
        <v>New Traffic Signal</v>
      </c>
      <c r="D39" s="929" t="str">
        <f>'Predicted B-C'!E28</f>
        <v>Angle crashes</v>
      </c>
      <c r="E39" s="930"/>
      <c r="F39" s="930"/>
      <c r="G39" s="930"/>
      <c r="H39" s="930"/>
      <c r="I39" s="930"/>
      <c r="J39" s="930"/>
      <c r="K39" s="931"/>
      <c r="L39" s="784">
        <f>'Predicted B-C'!R28</f>
        <v>10</v>
      </c>
      <c r="M39" s="705">
        <f>'Predicted B-C'!S28</f>
        <v>0</v>
      </c>
      <c r="N39" s="704">
        <f>'Predicted B-C'!T28</f>
        <v>5</v>
      </c>
      <c r="O39" s="704">
        <f>'Predicted B-C'!U28</f>
        <v>1</v>
      </c>
      <c r="P39" s="705">
        <f>'Predicted B-C'!V28</f>
        <v>0</v>
      </c>
      <c r="Q39" s="706">
        <v>6</v>
      </c>
      <c r="R39" s="706"/>
      <c r="S39" s="707">
        <v>2</v>
      </c>
      <c r="T39" s="707"/>
      <c r="U39" s="708">
        <v>0</v>
      </c>
      <c r="V39" s="705">
        <f t="shared" si="1"/>
        <v>24</v>
      </c>
      <c r="W39" s="703">
        <f t="shared" si="2"/>
        <v>5258.4</v>
      </c>
      <c r="X39" s="718">
        <v>3</v>
      </c>
      <c r="Y39" s="772"/>
      <c r="Z39" s="716">
        <v>1</v>
      </c>
      <c r="AA39" s="716"/>
      <c r="AB39" s="717">
        <v>0</v>
      </c>
      <c r="AC39" s="705">
        <f t="shared" si="3"/>
        <v>4</v>
      </c>
      <c r="AD39" s="710">
        <f t="shared" si="4"/>
        <v>581.2</v>
      </c>
      <c r="AE39" s="157"/>
    </row>
    <row r="40" spans="2:31" ht="12.75" customHeight="1">
      <c r="B40" s="156"/>
      <c r="C40" s="711">
        <f>'Predicted B-C'!D29</f>
        <v>0</v>
      </c>
      <c r="D40" s="926" t="str">
        <f>'Predicted B-C'!E29</f>
        <v>Rear-end crashes ( expected to increase)</v>
      </c>
      <c r="E40" s="927"/>
      <c r="F40" s="927"/>
      <c r="G40" s="927"/>
      <c r="H40" s="927"/>
      <c r="I40" s="927"/>
      <c r="J40" s="927"/>
      <c r="K40" s="928"/>
      <c r="L40" s="785">
        <f>'Predicted B-C'!R29</f>
        <v>6</v>
      </c>
      <c r="M40" s="714">
        <f>'Predicted B-C'!S29</f>
        <v>0</v>
      </c>
      <c r="N40" s="713">
        <f>'Predicted B-C'!T29</f>
        <v>5</v>
      </c>
      <c r="O40" s="713">
        <f>'Predicted B-C'!U29</f>
        <v>0</v>
      </c>
      <c r="P40" s="714">
        <f>'Predicted B-C'!V29</f>
        <v>0</v>
      </c>
      <c r="Q40" s="715">
        <v>2</v>
      </c>
      <c r="R40" s="715"/>
      <c r="S40" s="716"/>
      <c r="T40" s="716">
        <v>1</v>
      </c>
      <c r="U40" s="717">
        <v>0</v>
      </c>
      <c r="V40" s="714">
        <f t="shared" si="1"/>
        <v>14</v>
      </c>
      <c r="W40" s="703">
        <f t="shared" si="2"/>
        <v>4043.2</v>
      </c>
      <c r="X40" s="718">
        <v>5</v>
      </c>
      <c r="Y40" s="773"/>
      <c r="Z40" s="716">
        <v>2</v>
      </c>
      <c r="AA40" s="716">
        <v>1</v>
      </c>
      <c r="AB40" s="717">
        <v>0</v>
      </c>
      <c r="AC40" s="714">
        <f t="shared" si="3"/>
        <v>8</v>
      </c>
      <c r="AD40" s="710">
        <f t="shared" si="4"/>
        <v>2458</v>
      </c>
      <c r="AE40" s="157"/>
    </row>
    <row r="41" spans="2:31" ht="12.75">
      <c r="B41" s="156"/>
      <c r="C41" s="711">
        <f>'Predicted B-C'!D30</f>
        <v>0</v>
      </c>
      <c r="D41" s="913">
        <f>'Predicted B-C'!E30</f>
        <v>0</v>
      </c>
      <c r="E41" s="914"/>
      <c r="F41" s="914"/>
      <c r="G41" s="914"/>
      <c r="H41" s="914"/>
      <c r="I41" s="914"/>
      <c r="J41" s="914"/>
      <c r="K41" s="915"/>
      <c r="L41" s="786">
        <f>'Predicted B-C'!R30</f>
        <v>0</v>
      </c>
      <c r="M41" s="783">
        <f>'Predicted B-C'!S30</f>
        <v>0</v>
      </c>
      <c r="N41" s="719">
        <f>'Predicted B-C'!T30</f>
        <v>0</v>
      </c>
      <c r="O41" s="719">
        <f>'Predicted B-C'!U30</f>
        <v>0</v>
      </c>
      <c r="P41" s="720">
        <f>'Predicted B-C'!V30</f>
        <v>0</v>
      </c>
      <c r="Q41" s="721"/>
      <c r="R41" s="721"/>
      <c r="S41" s="722"/>
      <c r="T41" s="722"/>
      <c r="U41" s="723"/>
      <c r="V41" s="720">
        <f t="shared" si="1"/>
        <v>0</v>
      </c>
      <c r="W41" s="703">
        <f t="shared" si="2"/>
        <v>0</v>
      </c>
      <c r="X41" s="718"/>
      <c r="Y41" s="771"/>
      <c r="Z41" s="716"/>
      <c r="AA41" s="716"/>
      <c r="AB41" s="717"/>
      <c r="AC41" s="720">
        <f t="shared" si="3"/>
        <v>0</v>
      </c>
      <c r="AD41" s="710">
        <f t="shared" si="4"/>
        <v>0</v>
      </c>
      <c r="AE41" s="157"/>
    </row>
    <row r="42" spans="2:31" ht="12.75">
      <c r="B42" s="156"/>
      <c r="C42" s="702">
        <f>'Predicted B-C'!D31</f>
        <v>0</v>
      </c>
      <c r="D42" s="929">
        <f>'Predicted B-C'!E31</f>
        <v>0</v>
      </c>
      <c r="E42" s="930"/>
      <c r="F42" s="930"/>
      <c r="G42" s="930"/>
      <c r="H42" s="930"/>
      <c r="I42" s="930"/>
      <c r="J42" s="930"/>
      <c r="K42" s="931"/>
      <c r="L42" s="785">
        <f>'Predicted B-C'!R31</f>
        <v>0</v>
      </c>
      <c r="M42" s="714">
        <f>'Predicted B-C'!S31</f>
        <v>0</v>
      </c>
      <c r="N42" s="713">
        <f>'Predicted B-C'!T31</f>
        <v>0</v>
      </c>
      <c r="O42" s="713">
        <f>'Predicted B-C'!U31</f>
        <v>0</v>
      </c>
      <c r="P42" s="714">
        <f>'Predicted B-C'!V31</f>
        <v>0</v>
      </c>
      <c r="Q42" s="715"/>
      <c r="R42" s="715"/>
      <c r="S42" s="716"/>
      <c r="T42" s="716"/>
      <c r="U42" s="717"/>
      <c r="V42" s="714">
        <f t="shared" si="1"/>
        <v>0</v>
      </c>
      <c r="W42" s="703">
        <f t="shared" si="2"/>
        <v>0</v>
      </c>
      <c r="X42" s="709"/>
      <c r="Y42" s="772"/>
      <c r="Z42" s="707"/>
      <c r="AA42" s="707"/>
      <c r="AB42" s="708"/>
      <c r="AC42" s="714">
        <f t="shared" si="3"/>
        <v>0</v>
      </c>
      <c r="AD42" s="710">
        <f t="shared" si="4"/>
        <v>0</v>
      </c>
      <c r="AE42" s="157"/>
    </row>
    <row r="43" spans="2:31" ht="12.75">
      <c r="B43" s="156"/>
      <c r="C43" s="711">
        <f>'Predicted B-C'!D32</f>
        <v>0</v>
      </c>
      <c r="D43" s="926">
        <f>'Predicted B-C'!E32</f>
        <v>0</v>
      </c>
      <c r="E43" s="927"/>
      <c r="F43" s="927"/>
      <c r="G43" s="927"/>
      <c r="H43" s="927"/>
      <c r="I43" s="927"/>
      <c r="J43" s="927"/>
      <c r="K43" s="928"/>
      <c r="L43" s="785">
        <f>'Predicted B-C'!R32</f>
        <v>0</v>
      </c>
      <c r="M43" s="714">
        <f>'Predicted B-C'!S32</f>
        <v>0</v>
      </c>
      <c r="N43" s="713">
        <f>'Predicted B-C'!T32</f>
        <v>0</v>
      </c>
      <c r="O43" s="713">
        <f>'Predicted B-C'!U32</f>
        <v>0</v>
      </c>
      <c r="P43" s="714">
        <f>'Predicted B-C'!V32</f>
        <v>0</v>
      </c>
      <c r="Q43" s="715"/>
      <c r="R43" s="715"/>
      <c r="S43" s="716"/>
      <c r="T43" s="716"/>
      <c r="U43" s="717"/>
      <c r="V43" s="714">
        <f t="shared" si="1"/>
        <v>0</v>
      </c>
      <c r="W43" s="703">
        <f t="shared" si="2"/>
        <v>0</v>
      </c>
      <c r="X43" s="718"/>
      <c r="Y43" s="773"/>
      <c r="Z43" s="716"/>
      <c r="AA43" s="716"/>
      <c r="AB43" s="717"/>
      <c r="AC43" s="714">
        <f t="shared" si="3"/>
        <v>0</v>
      </c>
      <c r="AD43" s="710">
        <f t="shared" si="4"/>
        <v>0</v>
      </c>
      <c r="AE43" s="157"/>
    </row>
    <row r="44" spans="2:31" ht="12.75" customHeight="1">
      <c r="B44" s="156"/>
      <c r="C44" s="725">
        <f>'Predicted B-C'!D33</f>
        <v>0</v>
      </c>
      <c r="D44" s="913">
        <f>'Predicted B-C'!E33</f>
        <v>0</v>
      </c>
      <c r="E44" s="914"/>
      <c r="F44" s="914"/>
      <c r="G44" s="914"/>
      <c r="H44" s="914"/>
      <c r="I44" s="914"/>
      <c r="J44" s="914"/>
      <c r="K44" s="915"/>
      <c r="L44" s="786">
        <f>'Predicted B-C'!R33</f>
        <v>0</v>
      </c>
      <c r="M44" s="714">
        <f>'Predicted B-C'!S33</f>
        <v>0</v>
      </c>
      <c r="N44" s="713">
        <f>'Predicted B-C'!T33</f>
        <v>0</v>
      </c>
      <c r="O44" s="713">
        <f>'Predicted B-C'!U33</f>
        <v>0</v>
      </c>
      <c r="P44" s="714">
        <f>'Predicted B-C'!V33</f>
        <v>0</v>
      </c>
      <c r="Q44" s="721"/>
      <c r="R44" s="721"/>
      <c r="S44" s="722"/>
      <c r="T44" s="722"/>
      <c r="U44" s="723"/>
      <c r="V44" s="720">
        <f t="shared" si="1"/>
        <v>0</v>
      </c>
      <c r="W44" s="703">
        <f t="shared" si="2"/>
        <v>0</v>
      </c>
      <c r="X44" s="724"/>
      <c r="Y44" s="771"/>
      <c r="Z44" s="722"/>
      <c r="AA44" s="722"/>
      <c r="AB44" s="723"/>
      <c r="AC44" s="720">
        <f t="shared" si="3"/>
        <v>0</v>
      </c>
      <c r="AD44" s="710">
        <f t="shared" si="4"/>
        <v>0</v>
      </c>
      <c r="AE44" s="157"/>
    </row>
    <row r="45" spans="2:31" ht="12.75" customHeight="1">
      <c r="B45" s="156"/>
      <c r="C45" s="726"/>
      <c r="D45" s="727"/>
      <c r="E45" s="727"/>
      <c r="F45" s="728"/>
      <c r="G45" s="729"/>
      <c r="H45" s="729"/>
      <c r="I45" s="729"/>
      <c r="J45" s="729"/>
      <c r="K45" s="730" t="s">
        <v>69</v>
      </c>
      <c r="L45" s="788">
        <f aca="true" t="shared" si="5" ref="L45:AB45">SUM(L33:L44)</f>
        <v>27</v>
      </c>
      <c r="M45" s="731">
        <f t="shared" si="5"/>
        <v>0</v>
      </c>
      <c r="N45" s="703">
        <f t="shared" si="5"/>
        <v>14</v>
      </c>
      <c r="O45" s="703">
        <f t="shared" si="5"/>
        <v>4</v>
      </c>
      <c r="P45" s="703">
        <f t="shared" si="5"/>
        <v>0</v>
      </c>
      <c r="Q45" s="712">
        <f t="shared" si="5"/>
        <v>11</v>
      </c>
      <c r="R45" s="712">
        <f t="shared" si="5"/>
        <v>0</v>
      </c>
      <c r="S45" s="712">
        <f t="shared" si="5"/>
        <v>3</v>
      </c>
      <c r="T45" s="712">
        <f t="shared" si="5"/>
        <v>3</v>
      </c>
      <c r="U45" s="712">
        <f t="shared" si="5"/>
        <v>0</v>
      </c>
      <c r="V45" s="712">
        <f t="shared" si="5"/>
        <v>62</v>
      </c>
      <c r="W45" s="732">
        <f t="shared" si="5"/>
        <v>18791.199999999997</v>
      </c>
      <c r="X45" s="789">
        <f t="shared" si="5"/>
        <v>11</v>
      </c>
      <c r="Y45" s="790">
        <f t="shared" si="5"/>
        <v>0</v>
      </c>
      <c r="Z45" s="712">
        <f t="shared" si="5"/>
        <v>3</v>
      </c>
      <c r="AA45" s="712">
        <f t="shared" si="5"/>
        <v>2</v>
      </c>
      <c r="AB45" s="712">
        <f t="shared" si="5"/>
        <v>0</v>
      </c>
      <c r="AC45" s="731">
        <f>SUM(AC33:AC44)</f>
        <v>16</v>
      </c>
      <c r="AD45" s="732">
        <f>SUM(AD33:AD44)</f>
        <v>4440.4</v>
      </c>
      <c r="AE45" s="157"/>
    </row>
    <row r="46" spans="2:31" ht="12.75" customHeight="1" thickBot="1">
      <c r="B46" s="156"/>
      <c r="C46" s="217"/>
      <c r="D46" s="218"/>
      <c r="E46" s="218"/>
      <c r="F46" s="219"/>
      <c r="G46" s="220"/>
      <c r="H46" s="220"/>
      <c r="I46" s="220"/>
      <c r="J46" s="220"/>
      <c r="K46" s="221" t="s">
        <v>261</v>
      </c>
      <c r="L46" s="847">
        <f>(L45+Q45)*$AA$12+(M45+R45)*$AA$13+(N45+S45)*$AA$14+(O45+T45)*$AA$15+(P45+U45)*$AA$16</f>
        <v>18791200</v>
      </c>
      <c r="M46" s="848"/>
      <c r="N46" s="848"/>
      <c r="O46" s="848"/>
      <c r="P46" s="848"/>
      <c r="Q46" s="848"/>
      <c r="R46" s="848"/>
      <c r="S46" s="848"/>
      <c r="T46" s="848"/>
      <c r="U46" s="849"/>
      <c r="V46" s="100"/>
      <c r="W46" s="100"/>
      <c r="X46" s="471">
        <f>X45*$AA$12+Y45*$AA$13+Z45*$AA$14+AA45*$AA$15+AB45*$AA$16</f>
        <v>4440400</v>
      </c>
      <c r="Y46" s="765"/>
      <c r="Z46" s="472"/>
      <c r="AA46" s="472"/>
      <c r="AB46" s="472"/>
      <c r="AC46" s="473"/>
      <c r="AD46" s="474"/>
      <c r="AE46" s="157"/>
    </row>
    <row r="47" spans="2:34" ht="4.5" customHeight="1">
      <c r="B47" s="567"/>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68"/>
      <c r="AG47" s="569"/>
      <c r="AH47" s="569"/>
    </row>
    <row r="48" spans="2:34" ht="12.75">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G48" s="569"/>
      <c r="AH48" s="569"/>
    </row>
    <row r="49" spans="2:34" ht="12.75">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G49" s="569"/>
      <c r="AH49" s="569"/>
    </row>
    <row r="50" spans="2:31" ht="12.75">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row>
    <row r="51" spans="2:31" ht="12.75">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row>
    <row r="52" ht="12.75"/>
    <row r="53" ht="12.75"/>
    <row r="54" ht="12.75"/>
    <row r="55" ht="12.75"/>
  </sheetData>
  <sheetProtection/>
  <mergeCells count="62">
    <mergeCell ref="AA20:AC23"/>
    <mergeCell ref="U14:Z14"/>
    <mergeCell ref="R31:R32"/>
    <mergeCell ref="U31:U32"/>
    <mergeCell ref="X30:X32"/>
    <mergeCell ref="Z30:Z32"/>
    <mergeCell ref="AA30:AA32"/>
    <mergeCell ref="S31:S32"/>
    <mergeCell ref="T31:T32"/>
    <mergeCell ref="AB30:AB32"/>
    <mergeCell ref="L31:L32"/>
    <mergeCell ref="N31:N32"/>
    <mergeCell ref="O31:O32"/>
    <mergeCell ref="P31:P32"/>
    <mergeCell ref="Q31:Q32"/>
    <mergeCell ref="O21:P21"/>
    <mergeCell ref="D36:K36"/>
    <mergeCell ref="D37:K37"/>
    <mergeCell ref="D38:K38"/>
    <mergeCell ref="D39:K39"/>
    <mergeCell ref="D44:K44"/>
    <mergeCell ref="D40:K40"/>
    <mergeCell ref="D41:K41"/>
    <mergeCell ref="D42:K42"/>
    <mergeCell ref="D43:K43"/>
    <mergeCell ref="D35:K35"/>
    <mergeCell ref="O24:P24"/>
    <mergeCell ref="M21:N21"/>
    <mergeCell ref="M22:N22"/>
    <mergeCell ref="M23:N23"/>
    <mergeCell ref="M24:N24"/>
    <mergeCell ref="O23:P23"/>
    <mergeCell ref="D34:K34"/>
    <mergeCell ref="D33:K33"/>
    <mergeCell ref="M31:M32"/>
    <mergeCell ref="AS5:AU5"/>
    <mergeCell ref="T8:X8"/>
    <mergeCell ref="D8:N8"/>
    <mergeCell ref="AB8:AD8"/>
    <mergeCell ref="C11:D14"/>
    <mergeCell ref="H12:P13"/>
    <mergeCell ref="Q12:S13"/>
    <mergeCell ref="E11:F14"/>
    <mergeCell ref="U12:Z12"/>
    <mergeCell ref="E15:F15"/>
    <mergeCell ref="E16:F16"/>
    <mergeCell ref="Q14:S14"/>
    <mergeCell ref="Q15:S15"/>
    <mergeCell ref="Q16:S16"/>
    <mergeCell ref="AA13:AD13"/>
    <mergeCell ref="U15:Z15"/>
    <mergeCell ref="U16:Z16"/>
    <mergeCell ref="L46:U46"/>
    <mergeCell ref="AA12:AD12"/>
    <mergeCell ref="AA14:AD14"/>
    <mergeCell ref="AA15:AD15"/>
    <mergeCell ref="AA16:AD16"/>
    <mergeCell ref="O8:S8"/>
    <mergeCell ref="U13:Z13"/>
    <mergeCell ref="O22:P22"/>
    <mergeCell ref="AA19:AC19"/>
    <mergeCell ref="Z33:Z35"/>
  </mergeCells>
  <printOptions horizontalCentered="1"/>
  <pageMargins left="0.41" right="0.3" top="0.66" bottom="0.67" header="0.28" footer="0.32"/>
  <pageSetup fitToHeight="1" fitToWidth="1" horizontalDpi="600" verticalDpi="600" orientation="landscape" scale="65" r:id="rId4"/>
  <headerFooter alignWithMargins="0">
    <oddFooter>&amp;LAlaska HSIP Handbook&amp;CA-4&amp;REffective April 18, 2022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2:BA70"/>
  <sheetViews>
    <sheetView showGridLines="0" showZeros="0" zoomScaleSheetLayoutView="100" zoomScalePageLayoutView="0" workbookViewId="0" topLeftCell="A1">
      <selection activeCell="H50" sqref="H50"/>
    </sheetView>
  </sheetViews>
  <sheetFormatPr defaultColWidth="11.375" defaultRowHeight="12.75"/>
  <cols>
    <col min="1" max="1" width="2.25390625" style="151" customWidth="1"/>
    <col min="2" max="2" width="1.12109375" style="151" customWidth="1"/>
    <col min="3" max="3" width="20.125" style="151" customWidth="1"/>
    <col min="4" max="4" width="10.625" style="151" customWidth="1"/>
    <col min="5" max="5" width="9.375" style="151" customWidth="1"/>
    <col min="6" max="6" width="9.25390625" style="151" customWidth="1"/>
    <col min="7" max="7" width="8.25390625" style="151" bestFit="1" customWidth="1"/>
    <col min="8" max="8" width="11.625" style="151" customWidth="1"/>
    <col min="9" max="9" width="8.75390625" style="151" customWidth="1"/>
    <col min="10" max="10" width="9.25390625" style="151" customWidth="1"/>
    <col min="11" max="11" width="8.25390625" style="151" customWidth="1"/>
    <col min="12" max="12" width="8.75390625" style="151" customWidth="1"/>
    <col min="13" max="13" width="7.875" style="151" customWidth="1"/>
    <col min="14" max="14" width="6.625" style="151" customWidth="1"/>
    <col min="15" max="15" width="8.25390625" style="151" customWidth="1"/>
    <col min="16" max="16" width="7.375" style="151" customWidth="1"/>
    <col min="17" max="17" width="6.25390625" style="151" bestFit="1" customWidth="1"/>
    <col min="18" max="18" width="6.875" style="151" customWidth="1"/>
    <col min="19" max="19" width="8.125" style="151" bestFit="1" customWidth="1"/>
    <col min="20" max="20" width="7.375" style="151" customWidth="1"/>
    <col min="21" max="21" width="5.625" style="151" customWidth="1"/>
    <col min="22" max="22" width="1.12109375" style="151" customWidth="1"/>
    <col min="23" max="23" width="7.00390625" style="151" customWidth="1"/>
    <col min="24" max="25" width="12.875" style="151" customWidth="1"/>
    <col min="26" max="27" width="13.375" style="151" customWidth="1"/>
    <col min="28" max="28" width="10.875" style="151" customWidth="1"/>
    <col min="29" max="29" width="12.625" style="151" customWidth="1"/>
    <col min="30" max="30" width="16.25390625" style="151" customWidth="1"/>
    <col min="31" max="31" width="8.875" style="151" customWidth="1"/>
    <col min="32" max="32" width="13.375" style="151" customWidth="1"/>
    <col min="33" max="34" width="12.125" style="151" customWidth="1"/>
    <col min="35" max="35" width="5.125" style="151" customWidth="1"/>
    <col min="36" max="36" width="13.125" style="151" customWidth="1"/>
    <col min="37" max="16384" width="11.375" style="151" customWidth="1"/>
  </cols>
  <sheetData>
    <row r="1" ht="12" customHeight="1"/>
    <row r="2" spans="2:22" ht="6.75" customHeight="1">
      <c r="B2" s="283"/>
      <c r="C2" s="284"/>
      <c r="D2" s="284"/>
      <c r="E2" s="284"/>
      <c r="F2" s="284"/>
      <c r="G2" s="284"/>
      <c r="H2" s="284"/>
      <c r="I2" s="284"/>
      <c r="J2" s="284"/>
      <c r="K2" s="284"/>
      <c r="L2" s="284"/>
      <c r="M2" s="284"/>
      <c r="N2" s="284"/>
      <c r="O2" s="284"/>
      <c r="P2" s="284"/>
      <c r="Q2" s="284"/>
      <c r="R2" s="284"/>
      <c r="S2" s="284"/>
      <c r="T2" s="284"/>
      <c r="U2" s="284"/>
      <c r="V2" s="285"/>
    </row>
    <row r="3" spans="2:26" ht="12.75">
      <c r="B3" s="227"/>
      <c r="C3" s="279"/>
      <c r="D3" s="279"/>
      <c r="E3" s="286"/>
      <c r="F3" s="287"/>
      <c r="G3" s="288"/>
      <c r="H3" s="288"/>
      <c r="I3" s="288"/>
      <c r="J3" s="289" t="s">
        <v>255</v>
      </c>
      <c r="K3" s="288"/>
      <c r="L3" s="288"/>
      <c r="M3" s="288"/>
      <c r="N3" s="288"/>
      <c r="O3" s="287"/>
      <c r="P3" s="290"/>
      <c r="Q3" s="279"/>
      <c r="R3" s="279"/>
      <c r="S3" s="279"/>
      <c r="T3" s="279"/>
      <c r="U3" s="279"/>
      <c r="V3" s="160"/>
      <c r="X3" s="184"/>
      <c r="Y3" s="291"/>
      <c r="Z3" s="291"/>
    </row>
    <row r="4" spans="2:26" ht="12.75">
      <c r="B4" s="227"/>
      <c r="C4" s="279"/>
      <c r="D4" s="279"/>
      <c r="E4" s="292"/>
      <c r="F4" s="282"/>
      <c r="G4" s="281"/>
      <c r="H4" s="281"/>
      <c r="I4" s="281"/>
      <c r="J4" s="293" t="s">
        <v>0</v>
      </c>
      <c r="K4" s="281"/>
      <c r="L4" s="281"/>
      <c r="M4" s="281"/>
      <c r="N4" s="281"/>
      <c r="O4" s="282"/>
      <c r="P4" s="294"/>
      <c r="Q4" s="279"/>
      <c r="R4" s="279"/>
      <c r="S4" s="279"/>
      <c r="T4" s="279"/>
      <c r="U4" s="279"/>
      <c r="V4" s="160"/>
      <c r="X4" s="184"/>
      <c r="Y4" s="291"/>
      <c r="Z4" s="291"/>
    </row>
    <row r="5" spans="2:47" ht="15">
      <c r="B5" s="227"/>
      <c r="C5" s="279"/>
      <c r="D5" s="279" t="s">
        <v>3</v>
      </c>
      <c r="E5" s="292"/>
      <c r="F5" s="282"/>
      <c r="G5" s="281"/>
      <c r="H5" s="281"/>
      <c r="I5" s="281"/>
      <c r="J5" s="295" t="s">
        <v>112</v>
      </c>
      <c r="K5" s="281"/>
      <c r="L5" s="281"/>
      <c r="M5" s="281"/>
      <c r="N5" s="281"/>
      <c r="O5" s="282"/>
      <c r="P5" s="294"/>
      <c r="Q5" s="279"/>
      <c r="R5" s="279"/>
      <c r="S5" s="279"/>
      <c r="T5" s="279"/>
      <c r="U5" s="279"/>
      <c r="V5" s="160"/>
      <c r="X5" s="184"/>
      <c r="Y5" s="291"/>
      <c r="Z5" s="291"/>
      <c r="AS5" s="952"/>
      <c r="AT5" s="952"/>
      <c r="AU5" s="952"/>
    </row>
    <row r="6" spans="2:47" ht="18.75">
      <c r="B6" s="227"/>
      <c r="C6" s="279"/>
      <c r="D6" s="279" t="s">
        <v>3</v>
      </c>
      <c r="E6" s="296" t="s">
        <v>3</v>
      </c>
      <c r="F6" s="297"/>
      <c r="G6" s="298"/>
      <c r="H6" s="298"/>
      <c r="I6" s="298"/>
      <c r="J6" s="299" t="s">
        <v>262</v>
      </c>
      <c r="K6" s="298"/>
      <c r="L6" s="298"/>
      <c r="M6" s="298"/>
      <c r="N6" s="298"/>
      <c r="O6" s="297"/>
      <c r="P6" s="300"/>
      <c r="Q6" s="279"/>
      <c r="R6" s="279"/>
      <c r="S6" s="279"/>
      <c r="T6" s="279"/>
      <c r="U6" s="279"/>
      <c r="V6" s="160"/>
      <c r="X6" s="98"/>
      <c r="Y6" s="301"/>
      <c r="Z6" s="301"/>
      <c r="AS6" s="159"/>
      <c r="AT6" s="159"/>
      <c r="AU6" s="159"/>
    </row>
    <row r="7" spans="2:26" ht="12" customHeight="1">
      <c r="B7" s="227"/>
      <c r="C7" s="279"/>
      <c r="D7" s="279"/>
      <c r="E7" s="279"/>
      <c r="F7" s="279"/>
      <c r="G7" s="279"/>
      <c r="H7" s="279"/>
      <c r="I7" s="279"/>
      <c r="J7" s="279"/>
      <c r="K7" s="279"/>
      <c r="L7" s="279"/>
      <c r="M7" s="279"/>
      <c r="N7" s="279"/>
      <c r="O7" s="279"/>
      <c r="P7" s="279"/>
      <c r="Q7" s="279"/>
      <c r="R7" s="279"/>
      <c r="S7" s="279"/>
      <c r="T7" s="279"/>
      <c r="U7" s="279"/>
      <c r="V7" s="160"/>
      <c r="X7" s="98"/>
      <c r="Y7" s="301"/>
      <c r="Z7" s="301"/>
    </row>
    <row r="8" spans="2:28" ht="51.75" customHeight="1">
      <c r="B8" s="227"/>
      <c r="C8" s="42" t="s">
        <v>2</v>
      </c>
      <c r="D8" s="953" t="str">
        <f>'Post Eval Input'!D8</f>
        <v>Test Intersection  -  Regional Project for the 
Betterment of All Mankind</v>
      </c>
      <c r="E8" s="954"/>
      <c r="F8" s="954"/>
      <c r="G8" s="954"/>
      <c r="H8" s="954"/>
      <c r="I8" s="954"/>
      <c r="J8" s="955"/>
      <c r="K8" s="958" t="s">
        <v>109</v>
      </c>
      <c r="L8" s="959"/>
      <c r="M8" s="960"/>
      <c r="N8" s="961" t="str">
        <f>'Post Eval Input'!T8</f>
        <v>Joe Traffic</v>
      </c>
      <c r="O8" s="962"/>
      <c r="P8" s="962"/>
      <c r="Q8" s="963"/>
      <c r="R8" s="43" t="s">
        <v>128</v>
      </c>
      <c r="S8" s="956">
        <f>'Post Eval Input'!AB8</f>
        <v>43295</v>
      </c>
      <c r="T8" s="957"/>
      <c r="U8" s="279"/>
      <c r="V8" s="160"/>
      <c r="X8" s="98"/>
      <c r="Y8" s="301"/>
      <c r="Z8" s="301"/>
      <c r="AA8" s="184"/>
      <c r="AB8" s="184"/>
    </row>
    <row r="9" spans="2:28" ht="13.5" thickBot="1">
      <c r="B9" s="227"/>
      <c r="C9" s="279"/>
      <c r="D9" s="279" t="s">
        <v>3</v>
      </c>
      <c r="E9" s="279" t="s">
        <v>3</v>
      </c>
      <c r="F9" s="279" t="s">
        <v>3</v>
      </c>
      <c r="G9" s="279" t="s">
        <v>3</v>
      </c>
      <c r="H9" s="279" t="s">
        <v>3</v>
      </c>
      <c r="I9" s="279" t="s">
        <v>3</v>
      </c>
      <c r="J9" s="279" t="s">
        <v>3</v>
      </c>
      <c r="K9" s="279" t="s">
        <v>3</v>
      </c>
      <c r="L9" s="279" t="s">
        <v>3</v>
      </c>
      <c r="M9" s="279"/>
      <c r="N9" s="279"/>
      <c r="O9" s="279"/>
      <c r="P9" s="279"/>
      <c r="Q9" s="279"/>
      <c r="R9" s="279"/>
      <c r="S9" s="279"/>
      <c r="T9" s="279"/>
      <c r="U9" s="279"/>
      <c r="V9" s="160"/>
      <c r="AA9" s="184"/>
      <c r="AB9" s="184"/>
    </row>
    <row r="10" spans="2:28" ht="19.5" thickBot="1">
      <c r="B10" s="227"/>
      <c r="C10" s="302" t="s">
        <v>263</v>
      </c>
      <c r="D10" s="303"/>
      <c r="E10" s="303"/>
      <c r="F10" s="303"/>
      <c r="G10" s="303"/>
      <c r="H10" s="303"/>
      <c r="I10" s="303"/>
      <c r="J10" s="303"/>
      <c r="K10" s="303"/>
      <c r="L10" s="303"/>
      <c r="M10" s="303"/>
      <c r="N10" s="303"/>
      <c r="O10" s="303"/>
      <c r="P10" s="303"/>
      <c r="Q10" s="303"/>
      <c r="R10" s="303"/>
      <c r="S10" s="303"/>
      <c r="T10" s="304"/>
      <c r="U10" s="279"/>
      <c r="V10" s="160"/>
      <c r="X10" s="305" t="s">
        <v>195</v>
      </c>
      <c r="Y10" s="306"/>
      <c r="AA10" s="291"/>
      <c r="AB10" s="291"/>
    </row>
    <row r="11" spans="2:28" ht="15">
      <c r="B11" s="227"/>
      <c r="C11" s="307" t="s">
        <v>43</v>
      </c>
      <c r="D11" s="293"/>
      <c r="E11" s="308" t="s">
        <v>48</v>
      </c>
      <c r="F11" s="309" t="s">
        <v>49</v>
      </c>
      <c r="G11" s="98" t="s">
        <v>50</v>
      </c>
      <c r="H11" s="310" t="s">
        <v>252</v>
      </c>
      <c r="I11" s="311"/>
      <c r="J11" s="281" t="s">
        <v>252</v>
      </c>
      <c r="K11" s="310" t="s">
        <v>26</v>
      </c>
      <c r="L11" s="311"/>
      <c r="M11" s="312" t="s">
        <v>56</v>
      </c>
      <c r="N11" s="40"/>
      <c r="O11" s="40"/>
      <c r="P11" s="281"/>
      <c r="Q11" s="298"/>
      <c r="R11" s="298"/>
      <c r="S11" s="298"/>
      <c r="T11" s="313"/>
      <c r="U11" s="279"/>
      <c r="V11" s="160"/>
      <c r="X11" s="314" t="s">
        <v>196</v>
      </c>
      <c r="Y11" s="314" t="s">
        <v>196</v>
      </c>
      <c r="AA11" s="291"/>
      <c r="AB11" s="291"/>
    </row>
    <row r="12" spans="2:28" ht="12.75">
      <c r="B12" s="227"/>
      <c r="C12" s="315"/>
      <c r="D12" s="184"/>
      <c r="E12" s="316" t="s">
        <v>52</v>
      </c>
      <c r="F12" s="317" t="s">
        <v>52</v>
      </c>
      <c r="G12" s="98" t="s">
        <v>251</v>
      </c>
      <c r="H12" s="318" t="s">
        <v>5</v>
      </c>
      <c r="I12" s="319"/>
      <c r="J12" s="40" t="s">
        <v>61</v>
      </c>
      <c r="K12" s="318" t="s">
        <v>103</v>
      </c>
      <c r="L12" s="319"/>
      <c r="M12" s="39" t="s">
        <v>57</v>
      </c>
      <c r="N12" s="39"/>
      <c r="O12" s="320" t="s">
        <v>252</v>
      </c>
      <c r="P12" s="321"/>
      <c r="Q12" s="281" t="s">
        <v>101</v>
      </c>
      <c r="R12" s="321"/>
      <c r="S12" s="281" t="s">
        <v>252</v>
      </c>
      <c r="T12" s="322"/>
      <c r="U12" s="279"/>
      <c r="V12" s="160"/>
      <c r="X12" s="323" t="s">
        <v>197</v>
      </c>
      <c r="Y12" s="323" t="s">
        <v>198</v>
      </c>
      <c r="AA12" s="291"/>
      <c r="AB12" s="291"/>
    </row>
    <row r="13" spans="2:28" ht="12.75">
      <c r="B13" s="227"/>
      <c r="C13" s="324"/>
      <c r="D13" s="280"/>
      <c r="E13" s="325"/>
      <c r="F13" s="326"/>
      <c r="G13" s="99"/>
      <c r="H13" s="327"/>
      <c r="I13" s="328"/>
      <c r="J13" s="40"/>
      <c r="K13" s="329" t="s">
        <v>105</v>
      </c>
      <c r="L13" s="330"/>
      <c r="M13" s="331" t="s">
        <v>3</v>
      </c>
      <c r="N13" s="331"/>
      <c r="O13" s="327" t="s">
        <v>61</v>
      </c>
      <c r="P13" s="328"/>
      <c r="Q13" s="281" t="s">
        <v>100</v>
      </c>
      <c r="R13" s="311"/>
      <c r="S13" s="281" t="s">
        <v>102</v>
      </c>
      <c r="T13" s="322"/>
      <c r="U13" s="279"/>
      <c r="V13" s="160"/>
      <c r="X13" s="332" t="s">
        <v>199</v>
      </c>
      <c r="Y13" s="332" t="s">
        <v>199</v>
      </c>
      <c r="AA13" s="291"/>
      <c r="AB13" s="291"/>
    </row>
    <row r="14" spans="2:28" ht="12.75">
      <c r="B14" s="227"/>
      <c r="C14" s="324" t="s">
        <v>202</v>
      </c>
      <c r="D14" s="333"/>
      <c r="E14" s="334">
        <f>'Predicted B-C'!E8</f>
        <v>39813</v>
      </c>
      <c r="F14" s="334">
        <f>'Predicted B-C'!H8</f>
        <v>41638</v>
      </c>
      <c r="G14" s="335">
        <f>SUM('Post Eval Input'!H21:L21)</f>
        <v>47</v>
      </c>
      <c r="H14" s="336">
        <f>'Post Eval Input'!H21*'Post Eval Input'!$AA$12+'Post Eval Input'!J21*'Post Eval Input'!$AA$14+'Post Eval Input'!K21*'Post Eval Input'!$AA$15+'Post Eval Input'!L21*'Post Eval Input'!$AA$16+'Post Eval Input'!I21*'Post Eval Input'!$AA$13</f>
        <v>14721600</v>
      </c>
      <c r="I14" s="337"/>
      <c r="J14" s="338">
        <f>('Post-Eval ARF'!G14*1000000)/('Post Eval Input'!O21*365*'Post Eval Input'!G21*IF(OR('Post Eval Input'!$Q$12="S",'Post Eval Input'!$Q$12="s"),'Post Eval Input'!$Q$14,1))</f>
        <v>2.5753424657534247</v>
      </c>
      <c r="K14" s="339">
        <f>('Post-Eval ARF'!H14)/('Post Eval Input'!O21*365*'Post Eval Input'!G21*IF(OR('Post Eval Input'!$Q$12="S",'Post Eval Input'!$Q$12="s"),'Post Eval Input'!$Q$14,1))</f>
        <v>0.8066630136986301</v>
      </c>
      <c r="L14" s="339"/>
      <c r="M14" s="340" t="s">
        <v>58</v>
      </c>
      <c r="N14" s="340"/>
      <c r="O14" s="341">
        <f>('Post-Eval ARF'!J15-'Post-Eval ARF'!J14)/'Post-Eval ARF'!J14</f>
        <v>-0.08814589665653504</v>
      </c>
      <c r="P14" s="341"/>
      <c r="Q14" s="342" t="str">
        <f>IF(O14&lt;0,IF(ABS(O14)&gt;=X14,"Yes","No"),IF(ABS(O14)&gt;=Y14,"Yes","No"))</f>
        <v>No</v>
      </c>
      <c r="R14" s="321"/>
      <c r="S14" s="343">
        <f>('Post-Eval ARF'!K15-'Post-Eval ARF'!K14)/'Post-Eval ARF'!K14</f>
        <v>-0.06376636079929204</v>
      </c>
      <c r="T14" s="344"/>
      <c r="U14" s="279"/>
      <c r="V14" s="160"/>
      <c r="X14" s="345">
        <f>IF(G14&lt;&gt;0,2.0657*G14^(-0.4726),0)</f>
        <v>0.3348372773078861</v>
      </c>
      <c r="Y14" s="345">
        <f>IF(G14&lt;&gt;0,3.7137*G14^(-0.5743),0)</f>
        <v>0.4069312269223268</v>
      </c>
      <c r="AA14" s="301"/>
      <c r="AB14" s="301"/>
    </row>
    <row r="15" spans="2:28" ht="12.75">
      <c r="B15" s="227"/>
      <c r="C15" s="324" t="s">
        <v>54</v>
      </c>
      <c r="D15" s="333"/>
      <c r="E15" s="334">
        <f>'Post Eval Input'!E22</f>
        <v>39082</v>
      </c>
      <c r="F15" s="334">
        <f>'Post Eval Input'!F22</f>
        <v>40542</v>
      </c>
      <c r="G15" s="335">
        <f>SUM('Post Eval Input'!H22:L22)</f>
        <v>18</v>
      </c>
      <c r="H15" s="346">
        <f>'Post Eval Input'!H22*'Post Eval Input'!AA$12+'Post Eval Input'!J22*'Post Eval Input'!AA$14+'Post Eval Input'!K22*'Post Eval Input'!AA$15+'Post Eval Input'!L22*'Post Eval Input'!AA$16+'Post Eval Input'!I22*'Post Eval Input'!$AA$13</f>
        <v>5788800</v>
      </c>
      <c r="I15" s="347"/>
      <c r="J15" s="338">
        <f>('Post-Eval ARF'!G15*1000000)/('Post Eval Input'!O22*365*'Post Eval Input'!G22*IF(OR('Post Eval Input'!Q$12="S",'Post Eval Input'!Q$12="s"),'Post Eval Input'!Q$14,1))</f>
        <v>2.3483365949119372</v>
      </c>
      <c r="K15" s="348">
        <f>('Post-Eval ARF'!H15)/('Post Eval Input'!O22*365*'Post Eval Input'!G22*IF(OR('Post Eval Input'!$Q$12="S",'Post Eval Input'!$Q$12="s"),'Post Eval Input'!$Q$14,1))</f>
        <v>0.755225048923679</v>
      </c>
      <c r="L15" s="348"/>
      <c r="M15" s="349" t="s">
        <v>59</v>
      </c>
      <c r="N15" s="349"/>
      <c r="O15" s="350">
        <f>('Post-Eval ARF'!J17-'Post-Eval ARF'!J15)/'Post-Eval ARF'!J15</f>
        <v>-0.2575757575757575</v>
      </c>
      <c r="P15" s="350"/>
      <c r="Q15" s="342" t="str">
        <f>IF(O15&lt;0,IF(ABS(O15)&gt;=X15,"Yes","No"),IF(ABS(O15)&gt;=Y15,"Yes","No"))</f>
        <v>No</v>
      </c>
      <c r="R15" s="351"/>
      <c r="S15" s="343">
        <f>('Post-Eval ARF'!K17-'Post-Eval ARF'!K15)/'Post-Eval ARF'!K15</f>
        <v>-0.34050706065631436</v>
      </c>
      <c r="T15" s="344"/>
      <c r="U15" s="279"/>
      <c r="V15" s="160"/>
      <c r="X15" s="345">
        <f>IF(G15&lt;&gt;0,2.0657*G15^(-0.4726),0)</f>
        <v>0.5270180182699665</v>
      </c>
      <c r="Y15" s="345">
        <f>IF(G15&lt;&gt;0,3.7137*G15^(-0.5743),0)</f>
        <v>0.7061611453459337</v>
      </c>
      <c r="AA15" s="301"/>
      <c r="AB15" s="301"/>
    </row>
    <row r="16" spans="2:28" ht="12.75">
      <c r="B16" s="227"/>
      <c r="C16" s="352" t="s">
        <v>65</v>
      </c>
      <c r="D16" s="333"/>
      <c r="E16" s="334">
        <f>'Post Eval Input'!E23</f>
        <v>39813</v>
      </c>
      <c r="F16" s="334">
        <f>'Post Eval Input'!F23</f>
        <v>40542</v>
      </c>
      <c r="G16" s="335">
        <f>SUM('Post Eval Input'!H23:L23)</f>
        <v>65</v>
      </c>
      <c r="H16" s="353">
        <f>'Post Eval Input'!H23*'Post Eval Input'!AA$12+'Post Eval Input'!J23*'Post Eval Input'!AA$14+'Post Eval Input'!K23*'Post Eval Input'!AA$15+'Post Eval Input'!L23*'Post Eval Input'!AA$16+'Post Eval Input'!I23*'Post Eval Input'!$AA$13</f>
        <v>20510400</v>
      </c>
      <c r="I16" s="354"/>
      <c r="J16" s="338">
        <f>('Post-Eval ARF'!G16*1000000)/('Post Eval Input'!O23*365*'Post Eval Input'!G23*IF(OR('Post Eval Input'!Q$12="S",'Post Eval Input'!Q$12="s"),'Post Eval Input'!Q$14,1))</f>
        <v>2.5081998842369284</v>
      </c>
      <c r="K16" s="348">
        <f>('Post-Eval ARF'!H16)/('Post Eval Input'!O23*365*'Post Eval Input'!G23*IF(OR('Post Eval Input'!$Q$12="S",'Post Eval Input'!$Q$12="s"),'Post Eval Input'!$Q$14,1))</f>
        <v>0.7914489677792784</v>
      </c>
      <c r="L16" s="348"/>
      <c r="M16" s="355" t="s">
        <v>60</v>
      </c>
      <c r="N16" s="355"/>
      <c r="O16" s="356">
        <f>('Post-Eval ARF'!J17-'Post-Eval ARF'!J16)/'Post-Eval ARF'!J16</f>
        <v>-0.30489510489510485</v>
      </c>
      <c r="P16" s="356"/>
      <c r="Q16" s="342" t="str">
        <f>IF(O16&lt;0,IF(ABS(O16)&gt;=X16,"Yes","No"),IF(ABS(O16)&gt;=Y16,"Yes","No"))</f>
        <v>Yes</v>
      </c>
      <c r="R16" s="357"/>
      <c r="S16" s="358">
        <f>('Post-Eval ARF'!K17-'Post-Eval ARF'!K16)/'Post-Eval ARF'!K16</f>
        <v>-0.3706914688660535</v>
      </c>
      <c r="T16" s="359"/>
      <c r="U16" s="279"/>
      <c r="V16" s="160"/>
      <c r="X16" s="345">
        <f>IF(G16&lt;&gt;0,2.0657*G16^(-0.4726),0)</f>
        <v>0.287266112454509</v>
      </c>
      <c r="Y16" s="345">
        <f>IF(G16&lt;&gt;0,3.7137*G16^(-0.5743),0)</f>
        <v>0.33779302441119313</v>
      </c>
      <c r="AA16" s="301"/>
      <c r="AB16" s="301"/>
    </row>
    <row r="17" spans="2:28" ht="13.5" thickBot="1">
      <c r="B17" s="227"/>
      <c r="C17" s="360" t="s">
        <v>55</v>
      </c>
      <c r="D17" s="361"/>
      <c r="E17" s="362">
        <f>'Post Eval Input'!E24</f>
        <v>40908</v>
      </c>
      <c r="F17" s="362">
        <f>'Post Eval Input'!F24</f>
        <v>42003</v>
      </c>
      <c r="G17" s="363">
        <f>SUM('Post Eval Input'!H24:L24)</f>
        <v>21</v>
      </c>
      <c r="H17" s="364">
        <f>'Post Eval Input'!H24*'Post Eval Input'!AA$12+'Post Eval Input'!J24*'Post Eval Input'!AA$14+'Post Eval Input'!K24*'Post Eval Input'!AA$15+'Post Eval Input'!L24*'Post Eval Input'!AA$16+'Post Eval Input'!I24*'Post Eval Input'!$AA$13</f>
        <v>5999200</v>
      </c>
      <c r="I17" s="365"/>
      <c r="J17" s="366">
        <f>('Post-Eval ARF'!G17*1000000)/('Post Eval Input'!O24*365*'Post Eval Input'!G24*IF(OR('Post Eval Input'!Q$12="S",'Post Eval Input'!Q$12="s"),'Post Eval Input'!Q$14,1))</f>
        <v>1.7434620174346203</v>
      </c>
      <c r="K17" s="367">
        <f>('Post-Eval ARF'!H17)/('Post Eval Input'!O24*365*'Post Eval Input'!G24*IF(OR('Post Eval Input'!$Q$12="S",'Post Eval Input'!$Q$12="s"),'Post Eval Input'!$Q$14,1))</f>
        <v>0.49806558738065587</v>
      </c>
      <c r="L17" s="367"/>
      <c r="M17" s="368" t="s">
        <v>3</v>
      </c>
      <c r="N17" s="368"/>
      <c r="O17" s="369" t="s">
        <v>3</v>
      </c>
      <c r="P17" s="369"/>
      <c r="Q17" s="370" t="s">
        <v>3</v>
      </c>
      <c r="R17" s="371"/>
      <c r="S17" s="372" t="s">
        <v>3</v>
      </c>
      <c r="T17" s="373"/>
      <c r="U17" s="279"/>
      <c r="V17" s="160"/>
      <c r="AA17" s="184"/>
      <c r="AB17" s="184"/>
    </row>
    <row r="18" spans="2:28" ht="13.5" thickBot="1">
      <c r="B18" s="227"/>
      <c r="C18" s="279"/>
      <c r="D18" s="279"/>
      <c r="E18" s="279"/>
      <c r="F18" s="279"/>
      <c r="G18" s="279"/>
      <c r="H18" s="374"/>
      <c r="I18" s="279"/>
      <c r="J18" s="279"/>
      <c r="K18" s="279"/>
      <c r="L18" s="279"/>
      <c r="M18" s="279"/>
      <c r="N18" s="279"/>
      <c r="O18" s="279"/>
      <c r="P18" s="279"/>
      <c r="Q18" s="279"/>
      <c r="R18" s="279"/>
      <c r="S18" s="279"/>
      <c r="T18" s="279"/>
      <c r="U18" s="279"/>
      <c r="V18" s="160"/>
      <c r="AA18" s="184"/>
      <c r="AB18" s="184"/>
    </row>
    <row r="19" spans="2:28" ht="19.5" thickBot="1">
      <c r="B19" s="227"/>
      <c r="C19" s="375" t="s">
        <v>266</v>
      </c>
      <c r="D19" s="376"/>
      <c r="E19" s="376"/>
      <c r="F19" s="376"/>
      <c r="G19" s="376"/>
      <c r="H19" s="376"/>
      <c r="I19" s="376"/>
      <c r="J19" s="376"/>
      <c r="K19" s="377"/>
      <c r="L19" s="377"/>
      <c r="M19" s="376"/>
      <c r="N19" s="376"/>
      <c r="O19" s="377"/>
      <c r="P19" s="377"/>
      <c r="Q19" s="377"/>
      <c r="R19" s="378"/>
      <c r="S19" s="378"/>
      <c r="T19" s="378"/>
      <c r="U19" s="378"/>
      <c r="V19" s="160"/>
      <c r="X19" s="151" t="s">
        <v>3</v>
      </c>
      <c r="AA19" s="184"/>
      <c r="AB19" s="184"/>
    </row>
    <row r="20" spans="2:28" ht="12.75">
      <c r="B20" s="227"/>
      <c r="C20" s="379" t="s">
        <v>13</v>
      </c>
      <c r="D20" s="380" t="s">
        <v>242</v>
      </c>
      <c r="E20" s="381"/>
      <c r="F20" s="381"/>
      <c r="G20" s="381"/>
      <c r="H20" s="381"/>
      <c r="I20" s="381"/>
      <c r="J20" s="381"/>
      <c r="K20" s="382" t="s">
        <v>87</v>
      </c>
      <c r="L20" s="383"/>
      <c r="M20" s="384" t="s">
        <v>95</v>
      </c>
      <c r="N20" s="385"/>
      <c r="O20" s="381" t="s">
        <v>265</v>
      </c>
      <c r="P20" s="381"/>
      <c r="Q20" s="381"/>
      <c r="R20" s="381"/>
      <c r="S20" s="386" t="s">
        <v>264</v>
      </c>
      <c r="T20" s="387"/>
      <c r="U20" s="387"/>
      <c r="V20" s="160"/>
      <c r="AA20" s="184"/>
      <c r="AB20" s="184"/>
    </row>
    <row r="21" spans="2:32" ht="12.75">
      <c r="B21" s="227"/>
      <c r="C21" s="388"/>
      <c r="D21" s="389" t="s">
        <v>38</v>
      </c>
      <c r="E21" s="390"/>
      <c r="F21" s="390"/>
      <c r="G21" s="390"/>
      <c r="H21" s="390"/>
      <c r="I21" s="390"/>
      <c r="J21" s="390"/>
      <c r="K21" s="391" t="s">
        <v>50</v>
      </c>
      <c r="L21" s="392" t="s">
        <v>252</v>
      </c>
      <c r="M21" s="391" t="s">
        <v>50</v>
      </c>
      <c r="N21" s="392" t="s">
        <v>252</v>
      </c>
      <c r="O21" s="390" t="s">
        <v>84</v>
      </c>
      <c r="P21" s="390"/>
      <c r="Q21" s="390"/>
      <c r="R21" s="390"/>
      <c r="S21" s="393" t="s">
        <v>84</v>
      </c>
      <c r="T21" s="394"/>
      <c r="U21" s="394"/>
      <c r="V21" s="160"/>
      <c r="X21" s="305" t="s">
        <v>195</v>
      </c>
      <c r="Y21" s="306"/>
      <c r="AA21" s="184"/>
      <c r="AB21" s="184"/>
      <c r="AC21" s="184"/>
      <c r="AD21" s="184"/>
      <c r="AE21" s="184"/>
      <c r="AF21" s="184"/>
    </row>
    <row r="22" spans="2:32" ht="12.75">
      <c r="B22" s="227"/>
      <c r="C22" s="388"/>
      <c r="D22" s="389" t="s">
        <v>40</v>
      </c>
      <c r="E22" s="390"/>
      <c r="F22" s="390"/>
      <c r="G22" s="390"/>
      <c r="H22" s="390"/>
      <c r="I22" s="390"/>
      <c r="J22" s="390"/>
      <c r="K22" s="395" t="s">
        <v>251</v>
      </c>
      <c r="L22" s="396" t="s">
        <v>5</v>
      </c>
      <c r="M22" s="395" t="s">
        <v>251</v>
      </c>
      <c r="N22" s="396" t="s">
        <v>5</v>
      </c>
      <c r="O22" s="397" t="s">
        <v>90</v>
      </c>
      <c r="P22" s="398" t="s">
        <v>67</v>
      </c>
      <c r="Q22" s="398" t="s">
        <v>99</v>
      </c>
      <c r="R22" s="399" t="s">
        <v>86</v>
      </c>
      <c r="S22" s="400" t="s">
        <v>90</v>
      </c>
      <c r="T22" s="398" t="s">
        <v>78</v>
      </c>
      <c r="U22" s="401" t="s">
        <v>68</v>
      </c>
      <c r="V22" s="160"/>
      <c r="X22" s="314" t="s">
        <v>196</v>
      </c>
      <c r="Y22" s="314" t="s">
        <v>196</v>
      </c>
      <c r="AA22" s="291"/>
      <c r="AB22" s="291"/>
      <c r="AC22" s="184"/>
      <c r="AD22" s="184"/>
      <c r="AE22" s="98"/>
      <c r="AF22" s="98"/>
    </row>
    <row r="23" spans="2:32" ht="12.75">
      <c r="B23" s="227"/>
      <c r="C23" s="402"/>
      <c r="D23" s="389"/>
      <c r="E23" s="390"/>
      <c r="F23" s="390"/>
      <c r="G23" s="390"/>
      <c r="H23" s="390"/>
      <c r="I23" s="390"/>
      <c r="J23" s="390"/>
      <c r="K23" s="403" t="s">
        <v>88</v>
      </c>
      <c r="L23" s="404" t="s">
        <v>77</v>
      </c>
      <c r="M23" s="403" t="s">
        <v>88</v>
      </c>
      <c r="N23" s="404" t="s">
        <v>77</v>
      </c>
      <c r="O23" s="405" t="s">
        <v>91</v>
      </c>
      <c r="P23" s="71" t="s">
        <v>81</v>
      </c>
      <c r="Q23" s="71" t="s">
        <v>97</v>
      </c>
      <c r="R23" s="406" t="s">
        <v>81</v>
      </c>
      <c r="S23" s="71" t="s">
        <v>268</v>
      </c>
      <c r="T23" s="71" t="s">
        <v>82</v>
      </c>
      <c r="U23" s="407" t="s">
        <v>92</v>
      </c>
      <c r="V23" s="160"/>
      <c r="X23" s="323" t="s">
        <v>197</v>
      </c>
      <c r="Y23" s="323" t="s">
        <v>198</v>
      </c>
      <c r="AA23" s="291"/>
      <c r="AB23" s="291"/>
      <c r="AC23" s="98"/>
      <c r="AD23" s="98"/>
      <c r="AE23" s="98"/>
      <c r="AF23" s="98"/>
    </row>
    <row r="24" spans="2:32" ht="12.75">
      <c r="B24" s="227"/>
      <c r="C24" s="402"/>
      <c r="D24" s="389"/>
      <c r="E24" s="390"/>
      <c r="F24" s="390"/>
      <c r="G24" s="390"/>
      <c r="H24" s="390"/>
      <c r="I24" s="390"/>
      <c r="J24" s="390"/>
      <c r="K24" s="403" t="s">
        <v>89</v>
      </c>
      <c r="L24" s="404" t="s">
        <v>83</v>
      </c>
      <c r="M24" s="403" t="s">
        <v>89</v>
      </c>
      <c r="N24" s="404" t="s">
        <v>83</v>
      </c>
      <c r="O24" s="405" t="s">
        <v>267</v>
      </c>
      <c r="P24" s="71" t="s">
        <v>80</v>
      </c>
      <c r="Q24" s="71" t="s">
        <v>98</v>
      </c>
      <c r="R24" s="406" t="s">
        <v>79</v>
      </c>
      <c r="S24" s="71" t="s">
        <v>96</v>
      </c>
      <c r="T24" s="405" t="s">
        <v>79</v>
      </c>
      <c r="U24" s="407" t="s">
        <v>93</v>
      </c>
      <c r="V24" s="160"/>
      <c r="X24" s="332" t="s">
        <v>199</v>
      </c>
      <c r="Y24" s="332" t="s">
        <v>199</v>
      </c>
      <c r="AA24" s="291"/>
      <c r="AB24" s="291"/>
      <c r="AC24" s="184"/>
      <c r="AD24" s="184"/>
      <c r="AE24" s="184"/>
      <c r="AF24" s="184"/>
    </row>
    <row r="25" spans="2:32" ht="12.75">
      <c r="B25" s="227"/>
      <c r="C25" s="44" t="str">
        <f>'Predicted B-C'!D22</f>
        <v>Intersection Illumination</v>
      </c>
      <c r="D25" s="47" t="str">
        <f>'Predicted B-C'!E22</f>
        <v>Night Crashes at unlighted intersections</v>
      </c>
      <c r="E25" s="48"/>
      <c r="F25" s="48"/>
      <c r="G25" s="48"/>
      <c r="H25" s="48"/>
      <c r="I25" s="48"/>
      <c r="J25" s="48"/>
      <c r="K25" s="55">
        <f>'Post Eval Input'!V33/'Post Eval Input'!G$23</f>
        <v>1.7142857142857142</v>
      </c>
      <c r="L25" s="56">
        <f>'Post Eval Input'!W33/'Post Eval Input'!$G$23</f>
        <v>551.3142857142857</v>
      </c>
      <c r="M25" s="57">
        <f>'Post Eval Input'!AC33/'Post Eval Input'!G$24</f>
        <v>0.6666666666666666</v>
      </c>
      <c r="N25" s="58">
        <f>'Post Eval Input'!AD33/'Post Eval Input'!G$24</f>
        <v>17.599999999999998</v>
      </c>
      <c r="O25" s="59">
        <f>IF(K25&lt;&gt;0,(M25-K25)/K25,0)</f>
        <v>-0.611111111111111</v>
      </c>
      <c r="P25" s="60">
        <f>IF(O25&lt;&gt;0,((M25/K25)*('Post Eval Input'!O$23/'Post Eval Input'!O$24)-1),0)</f>
        <v>-0.6414141414141414</v>
      </c>
      <c r="Q25" s="398" t="str">
        <f>IF(AND(P25&lt;&gt;0,P25&lt;&gt;""),IF(P25&lt;=0,IF(ABS(P25)&gt;=X25,IF(SIGN(P25)=SIGN('Predicted B-C'!P22),"YES","UKN"),"NO"),IF(ABS(P25)&gt;=Y25,IF(SIGN(P25)=SIGN('Predicted B-C'!P22),"YES","N/A"),"NO")),"")</f>
        <v>YES</v>
      </c>
      <c r="R25" s="701">
        <f>P25/(1-'Post Eval Input'!AA$20)</f>
        <v>-0.6414141414141414</v>
      </c>
      <c r="S25" s="63">
        <f>IF(L25&lt;&gt;0,(N25-L25)/L25,0)</f>
        <v>-0.9680762852404643</v>
      </c>
      <c r="T25" s="63">
        <f>IF(S25&lt;&gt;0,IF((((N25/L25)*('Post Eval Input'!O$23/'Post Eval Input'!O$24)-1)/(1-'Post Eval Input'!AA$20))&lt;-1,-1,(((N25/L25)*('Post Eval Input'!O$23/'Post Eval Input'!O$24)-1)/(1-'Post Eval Input'!AA$20))),0)</f>
        <v>-0.9705638474295191</v>
      </c>
      <c r="U25" s="64">
        <f>'Predicted B-C'!P22</f>
        <v>-0.5</v>
      </c>
      <c r="V25" s="160"/>
      <c r="X25" s="345">
        <f>IF('Post Eval Input'!V33&lt;&gt;0,2.0657*'Post Eval Input'!V33^(-0.4726),0)</f>
        <v>0.6383313770794187</v>
      </c>
      <c r="Y25" s="345">
        <f>IF('Post Eval Input'!V33&lt;&gt;0,3.7137*'Post Eval Input'!V33^(-0.5743),0)</f>
        <v>0.8913187202560147</v>
      </c>
      <c r="AA25" s="408"/>
      <c r="AB25" s="408"/>
      <c r="AC25" s="98"/>
      <c r="AD25" s="98"/>
      <c r="AE25" s="98"/>
      <c r="AF25" s="98"/>
    </row>
    <row r="26" spans="2:32" ht="12.75">
      <c r="B26" s="227"/>
      <c r="C26" s="45">
        <f>'Predicted B-C'!D23</f>
        <v>0</v>
      </c>
      <c r="D26" s="49">
        <f>'Predicted B-C'!E23</f>
        <v>0</v>
      </c>
      <c r="E26" s="50"/>
      <c r="F26" s="50"/>
      <c r="G26" s="50"/>
      <c r="H26" s="50"/>
      <c r="I26" s="50"/>
      <c r="J26" s="50"/>
      <c r="K26" s="65">
        <f>'Post Eval Input'!V34/'Post Eval Input'!G$23</f>
        <v>0</v>
      </c>
      <c r="L26" s="66">
        <f>'Post Eval Input'!W34/'Post Eval Input'!$G$23</f>
        <v>0</v>
      </c>
      <c r="M26" s="67">
        <f>'Post Eval Input'!AC34/'Post Eval Input'!G$24</f>
        <v>0</v>
      </c>
      <c r="N26" s="68">
        <f>'Post Eval Input'!AD34/'Post Eval Input'!G$24</f>
        <v>0</v>
      </c>
      <c r="O26" s="69">
        <f aca="true" t="shared" si="0" ref="O26:O36">IF(K26&lt;&gt;0,(M26-K26)/K26,0)</f>
        <v>0</v>
      </c>
      <c r="P26" s="70">
        <f>IF(O26&lt;&gt;0,((M26/K26)*('Post Eval Input'!O$23/'Post Eval Input'!O$24)-1),0)</f>
        <v>0</v>
      </c>
      <c r="Q26" s="71">
        <f>IF(AND(P26&lt;&gt;0,P26&lt;&gt;""),IF(P26&lt;=0,IF(ABS(P26)&gt;=X26,IF(SIGN(P26)=SIGN('Predicted B-C'!P23),"YES","UKN"),"NO"),IF(ABS(P26)&gt;=Y26,IF(SIGN(P26)=SIGN('Predicted B-C'!P23),"YES","N/A"),"NO")),"")</f>
      </c>
      <c r="R26" s="72">
        <f>P26/(1-'Post Eval Input'!AA$20)</f>
        <v>0</v>
      </c>
      <c r="S26" s="73">
        <f aca="true" t="shared" si="1" ref="S26:S36">IF(L26&lt;&gt;0,(N26-L26)/L26,0)</f>
        <v>0</v>
      </c>
      <c r="T26" s="73">
        <f>IF(S26&lt;&gt;0,IF((((N26/L26)*('Post Eval Input'!O$23/'Post Eval Input'!O$24)-1)/(1-'Post Eval Input'!AA$20))&lt;-1,-1,(((N26/L26)*('Post Eval Input'!O$23/'Post Eval Input'!O$24)-1)/(1-'Post Eval Input'!AA$20))),0)</f>
        <v>0</v>
      </c>
      <c r="U26" s="74">
        <f>'Predicted B-C'!P23</f>
        <v>0</v>
      </c>
      <c r="V26" s="160"/>
      <c r="X26" s="345">
        <f>IF('Post Eval Input'!V34&lt;&gt;0,2.0657*'Post Eval Input'!V34^(-0.4726),0)</f>
        <v>0</v>
      </c>
      <c r="Y26" s="345">
        <f>IF('Post Eval Input'!V34&lt;&gt;0,3.7137*'Post Eval Input'!V34^(-0.5743),0)</f>
        <v>0</v>
      </c>
      <c r="AA26" s="408"/>
      <c r="AB26" s="408"/>
      <c r="AC26" s="98"/>
      <c r="AD26" s="98"/>
      <c r="AE26" s="98"/>
      <c r="AF26" s="98"/>
    </row>
    <row r="27" spans="2:32" ht="12.75">
      <c r="B27" s="227"/>
      <c r="C27" s="45">
        <f>'Predicted B-C'!D24</f>
        <v>0</v>
      </c>
      <c r="D27" s="51">
        <f>'Predicted B-C'!E24</f>
        <v>0</v>
      </c>
      <c r="E27" s="52"/>
      <c r="F27" s="52"/>
      <c r="G27" s="52"/>
      <c r="H27" s="52"/>
      <c r="I27" s="52"/>
      <c r="J27" s="52"/>
      <c r="K27" s="65">
        <f>'Post Eval Input'!V35/'Post Eval Input'!G$23</f>
        <v>0</v>
      </c>
      <c r="L27" s="66">
        <f>'Post Eval Input'!W35/'Post Eval Input'!$G$23</f>
        <v>0</v>
      </c>
      <c r="M27" s="67">
        <f>'Post Eval Input'!AC35/'Post Eval Input'!G$24</f>
        <v>0</v>
      </c>
      <c r="N27" s="68">
        <f>'Post Eval Input'!AD35/'Post Eval Input'!G$24</f>
        <v>0</v>
      </c>
      <c r="O27" s="69">
        <f t="shared" si="0"/>
        <v>0</v>
      </c>
      <c r="P27" s="70">
        <f>IF(O27&lt;&gt;0,((M27/K27)*('Post Eval Input'!O$23/'Post Eval Input'!O$24)-1),0)</f>
        <v>0</v>
      </c>
      <c r="Q27" s="75">
        <f>IF(AND(P27&lt;&gt;0,P27&lt;&gt;""),IF(P27&lt;=0,IF(ABS(P27)&gt;=X27,IF(SIGN(P27)=SIGN('Predicted B-C'!P24),"YES","UKN"),"NO"),IF(ABS(P27)&gt;=Y27,IF(SIGN(P27)=SIGN('Predicted B-C'!P24),"YES","N/A"),"NO")),"")</f>
      </c>
      <c r="R27" s="72">
        <f>P27/(1-'Post Eval Input'!AA$20)</f>
        <v>0</v>
      </c>
      <c r="S27" s="73">
        <f t="shared" si="1"/>
        <v>0</v>
      </c>
      <c r="T27" s="73">
        <f>IF(S27&lt;&gt;0,IF((((N27/L27)*('Post Eval Input'!O$23/'Post Eval Input'!O$24)-1)/(1-'Post Eval Input'!AA$20))&lt;-1,-1,(((N27/L27)*('Post Eval Input'!O$23/'Post Eval Input'!O$24)-1)/(1-'Post Eval Input'!AA$20))),0)</f>
        <v>0</v>
      </c>
      <c r="U27" s="74">
        <f>'Predicted B-C'!P24</f>
        <v>0</v>
      </c>
      <c r="V27" s="160"/>
      <c r="X27" s="345">
        <f>IF('Post Eval Input'!V35&lt;&gt;0,2.0657*'Post Eval Input'!V35^(-0.4726),0)</f>
        <v>0</v>
      </c>
      <c r="Y27" s="345">
        <f>IF('Post Eval Input'!V35&lt;&gt;0,3.7137*'Post Eval Input'!V35^(-0.5743),0)</f>
        <v>0</v>
      </c>
      <c r="AA27" s="408"/>
      <c r="AB27" s="408"/>
      <c r="AC27" s="98"/>
      <c r="AD27" s="98"/>
      <c r="AE27" s="98"/>
      <c r="AF27" s="98"/>
    </row>
    <row r="28" spans="2:32" ht="48">
      <c r="B28" s="227"/>
      <c r="C28" s="44" t="str">
        <f>'Predicted B-C'!D25</f>
        <v>Install Lt Turn Pocket at Rural, Unsignalized Intersection (Major Road Approach Only)</v>
      </c>
      <c r="D28" s="47" t="str">
        <f>'Predicted B-C'!E25</f>
        <v>Rear-ends and side-swipes involving turning cars making the target movement</v>
      </c>
      <c r="E28" s="48"/>
      <c r="F28" s="48"/>
      <c r="G28" s="48"/>
      <c r="H28" s="48"/>
      <c r="I28" s="48"/>
      <c r="J28" s="48"/>
      <c r="K28" s="55">
        <f>'Post Eval Input'!V36/'Post Eval Input'!G$23</f>
        <v>1.7142857142857142</v>
      </c>
      <c r="L28" s="56">
        <f>'Post Eval Input'!W36/'Post Eval Input'!$G$23</f>
        <v>804.342857142857</v>
      </c>
      <c r="M28" s="57">
        <f>'Post Eval Input'!AC36/'Post Eval Input'!G$24</f>
        <v>0.6666666666666666</v>
      </c>
      <c r="N28" s="58">
        <f>'Post Eval Input'!AD36/'Post Eval Input'!G$24</f>
        <v>449.4666666666667</v>
      </c>
      <c r="O28" s="59">
        <f t="shared" si="0"/>
        <v>-0.611111111111111</v>
      </c>
      <c r="P28" s="60">
        <f>IF(O28&lt;&gt;0,((M28/K28)*('Post Eval Input'!O$23/'Post Eval Input'!O$24)-1),0)</f>
        <v>-0.6414141414141414</v>
      </c>
      <c r="Q28" s="61" t="str">
        <f>IF(AND(P28&lt;&gt;0,P28&lt;&gt;""),IF(P28&lt;=0,IF(ABS(P28)&gt;=X28,IF(SIGN(P28)=SIGN('Predicted B-C'!P25),"YES","UKN"),"NO"),IF(ABS(P28)&gt;=Y28,IF(SIGN(P28)=SIGN('Predicted B-C'!P25),"YES","N/A"),"NO")),"")</f>
        <v>YES</v>
      </c>
      <c r="R28" s="62">
        <f>P28/(1-'Post Eval Input'!AA$20)</f>
        <v>-0.6414141414141414</v>
      </c>
      <c r="S28" s="63">
        <f t="shared" si="1"/>
        <v>-0.44120015155820774</v>
      </c>
      <c r="T28" s="63">
        <f>IF(S28&lt;&gt;0,IF((((N28/L28)*('Post Eval Input'!O$23/'Post Eval Input'!O$24)-1)/(1-'Post Eval Input'!AA$20))&lt;-1,-1,(((N28/L28)*('Post Eval Input'!O$23/'Post Eval Input'!O$24)-1)/(1-'Post Eval Input'!AA$20))),0)</f>
        <v>-0.4847429968913344</v>
      </c>
      <c r="U28" s="64">
        <f>'Predicted B-C'!P25</f>
        <v>-0.6</v>
      </c>
      <c r="V28" s="160"/>
      <c r="X28" s="345">
        <f>IF('Post Eval Input'!V36&lt;&gt;0,2.0657*'Post Eval Input'!V36^(-0.4726),0)</f>
        <v>0.6383313770794187</v>
      </c>
      <c r="Y28" s="345">
        <f>IF('Post Eval Input'!V36&lt;&gt;0,3.7137*'Post Eval Input'!V36^(-0.5743),0)</f>
        <v>0.8913187202560147</v>
      </c>
      <c r="AA28" s="408"/>
      <c r="AB28" s="408"/>
      <c r="AC28" s="98"/>
      <c r="AD28" s="98"/>
      <c r="AE28" s="98"/>
      <c r="AF28" s="98"/>
    </row>
    <row r="29" spans="2:32" ht="12.75">
      <c r="B29" s="227"/>
      <c r="C29" s="45">
        <f>'Predicted B-C'!D26</f>
        <v>0</v>
      </c>
      <c r="D29" s="49">
        <f>'Predicted B-C'!E26</f>
        <v>0</v>
      </c>
      <c r="E29" s="50"/>
      <c r="F29" s="50"/>
      <c r="G29" s="50"/>
      <c r="H29" s="50"/>
      <c r="I29" s="50"/>
      <c r="J29" s="50"/>
      <c r="K29" s="65">
        <f>'Post Eval Input'!V37/'Post Eval Input'!G$23</f>
        <v>0</v>
      </c>
      <c r="L29" s="66">
        <f>'Post Eval Input'!W37/'Post Eval Input'!$G$23</f>
        <v>0</v>
      </c>
      <c r="M29" s="67">
        <f>'Post Eval Input'!AC37/'Post Eval Input'!G$24</f>
        <v>0</v>
      </c>
      <c r="N29" s="68">
        <f>'Post Eval Input'!AD37/'Post Eval Input'!G$24</f>
        <v>0</v>
      </c>
      <c r="O29" s="69">
        <f t="shared" si="0"/>
        <v>0</v>
      </c>
      <c r="P29" s="70">
        <f>IF(O29&lt;&gt;0,((M29/K29)*('Post Eval Input'!O$23/'Post Eval Input'!O$24)-1),0)</f>
        <v>0</v>
      </c>
      <c r="Q29" s="75">
        <f>IF(AND(P29&lt;&gt;0,P29&lt;&gt;""),IF(P29&lt;=0,IF(ABS(P29)&gt;=X29,IF(SIGN(P29)=SIGN('Predicted B-C'!P26),"YES","UKN"),"NO"),IF(ABS(P29)&gt;=Y29,IF(SIGN(P29)=SIGN('Predicted B-C'!P26),"YES","N/A"),"NO")),"")</f>
      </c>
      <c r="R29" s="72">
        <f>P29/(1-'Post Eval Input'!AA$20)</f>
        <v>0</v>
      </c>
      <c r="S29" s="73">
        <f t="shared" si="1"/>
        <v>0</v>
      </c>
      <c r="T29" s="73">
        <f>IF(S29&lt;&gt;0,IF((((N29/L29)*('Post Eval Input'!O$23/'Post Eval Input'!O$24)-1)/(1-'Post Eval Input'!AA$20))&lt;-1,-1,(((N29/L29)*('Post Eval Input'!O$23/'Post Eval Input'!O$24)-1)/(1-'Post Eval Input'!AA$20))),0)</f>
        <v>0</v>
      </c>
      <c r="U29" s="74">
        <f>'Predicted B-C'!P26</f>
        <v>0</v>
      </c>
      <c r="V29" s="160"/>
      <c r="X29" s="345">
        <f>IF('Post Eval Input'!V37&lt;&gt;0,2.0657*'Post Eval Input'!V37^(-0.4726),0)</f>
        <v>0</v>
      </c>
      <c r="Y29" s="345">
        <f>IF('Post Eval Input'!V37&lt;&gt;0,3.7137*'Post Eval Input'!V37^(-0.5743),0)</f>
        <v>0</v>
      </c>
      <c r="AA29" s="408"/>
      <c r="AB29" s="408"/>
      <c r="AC29" s="98"/>
      <c r="AD29" s="98"/>
      <c r="AE29" s="98"/>
      <c r="AF29" s="98"/>
    </row>
    <row r="30" spans="2:32" ht="12.75">
      <c r="B30" s="227"/>
      <c r="C30" s="45">
        <f>'Predicted B-C'!D27</f>
        <v>0</v>
      </c>
      <c r="D30" s="51">
        <f>'Predicted B-C'!E27</f>
        <v>0</v>
      </c>
      <c r="E30" s="52"/>
      <c r="F30" s="52"/>
      <c r="G30" s="52"/>
      <c r="H30" s="52"/>
      <c r="I30" s="52"/>
      <c r="J30" s="52"/>
      <c r="K30" s="65">
        <f>'Post Eval Input'!V38/'Post Eval Input'!G$23</f>
        <v>0</v>
      </c>
      <c r="L30" s="66">
        <f>'Post Eval Input'!W38/'Post Eval Input'!$G$23</f>
        <v>0</v>
      </c>
      <c r="M30" s="67">
        <f>'Post Eval Input'!AC38/'Post Eval Input'!G$24</f>
        <v>0</v>
      </c>
      <c r="N30" s="68">
        <f>'Post Eval Input'!AD38/'Post Eval Input'!G$24</f>
        <v>0</v>
      </c>
      <c r="O30" s="69">
        <f t="shared" si="0"/>
        <v>0</v>
      </c>
      <c r="P30" s="70">
        <f>IF(O30&lt;&gt;0,((M30/K30)*('Post Eval Input'!O$23/'Post Eval Input'!O$24)-1),0)</f>
        <v>0</v>
      </c>
      <c r="Q30" s="75">
        <f>IF(AND(P30&lt;&gt;0,P30&lt;&gt;""),IF(P30&lt;=0,IF(ABS(P30)&gt;=X30,IF(SIGN(P30)=SIGN('Predicted B-C'!P27),"YES","UKN"),"NO"),IF(ABS(P30)&gt;=Y30,IF(SIGN(P30)=SIGN('Predicted B-C'!P27),"YES","N/A"),"NO")),"")</f>
      </c>
      <c r="R30" s="72">
        <f>P30/(1-'Post Eval Input'!AA$20)</f>
        <v>0</v>
      </c>
      <c r="S30" s="73">
        <f t="shared" si="1"/>
        <v>0</v>
      </c>
      <c r="T30" s="73">
        <f>IF(S30&lt;&gt;0,IF((((N30/L30)*('Post Eval Input'!O$23/'Post Eval Input'!O$24)-1)/(1-'Post Eval Input'!AA$20))&lt;-1,-1,(((N30/L30)*('Post Eval Input'!O$23/'Post Eval Input'!O$24)-1)/(1-'Post Eval Input'!AA$20))),0)</f>
        <v>0</v>
      </c>
      <c r="U30" s="74">
        <f>'Predicted B-C'!P27</f>
        <v>0</v>
      </c>
      <c r="V30" s="160"/>
      <c r="X30" s="345">
        <f>IF('Post Eval Input'!V38&lt;&gt;0,2.0657*'Post Eval Input'!V38^(-0.4726),0)</f>
        <v>0</v>
      </c>
      <c r="Y30" s="345">
        <f>IF('Post Eval Input'!V38&lt;&gt;0,3.7137*'Post Eval Input'!V38^(-0.5743),0)</f>
        <v>0</v>
      </c>
      <c r="AA30" s="408"/>
      <c r="AB30" s="408"/>
      <c r="AC30" s="98"/>
      <c r="AD30" s="98"/>
      <c r="AE30" s="98"/>
      <c r="AF30" s="98"/>
    </row>
    <row r="31" spans="2:32" ht="12.75">
      <c r="B31" s="227"/>
      <c r="C31" s="44" t="str">
        <f>'Predicted B-C'!D28</f>
        <v>New Traffic Signal</v>
      </c>
      <c r="D31" s="47" t="str">
        <f>'Predicted B-C'!E28</f>
        <v>Angle crashes</v>
      </c>
      <c r="E31" s="48"/>
      <c r="F31" s="48"/>
      <c r="G31" s="48"/>
      <c r="H31" s="48"/>
      <c r="I31" s="48"/>
      <c r="J31" s="48"/>
      <c r="K31" s="55">
        <f>'Post Eval Input'!V39/'Post Eval Input'!G$23</f>
        <v>3.4285714285714284</v>
      </c>
      <c r="L31" s="56">
        <f>'Post Eval Input'!W39/'Post Eval Input'!$G$23</f>
        <v>751.1999999999999</v>
      </c>
      <c r="M31" s="57">
        <f>'Post Eval Input'!AC39/'Post Eval Input'!G$24</f>
        <v>1.3333333333333333</v>
      </c>
      <c r="N31" s="58">
        <f>'Post Eval Input'!AD39/'Post Eval Input'!G$24</f>
        <v>193.73333333333335</v>
      </c>
      <c r="O31" s="59">
        <f t="shared" si="0"/>
        <v>-0.611111111111111</v>
      </c>
      <c r="P31" s="60">
        <f>IF(O31&lt;&gt;0,((M31/K31)*('Post Eval Input'!O$23/'Post Eval Input'!O$24)-1),0)</f>
        <v>-0.6414141414141414</v>
      </c>
      <c r="Q31" s="61" t="str">
        <f>IF(AND(P31&lt;&gt;0,P31&lt;&gt;""),IF(P31&lt;=0,IF(ABS(P31)&gt;=X31,IF(SIGN(P31)=SIGN('Predicted B-C'!P28),"YES","UKN"),"NO"),IF(ABS(P31)&gt;=Y31,IF(SIGN(P31)=SIGN('Predicted B-C'!P28),"YES","N/A"),"NO")),"")</f>
        <v>YES</v>
      </c>
      <c r="R31" s="62">
        <f>P31/(1-'Post Eval Input'!AA$20)</f>
        <v>-0.6414141414141414</v>
      </c>
      <c r="S31" s="63">
        <f t="shared" si="1"/>
        <v>-0.7421015264465743</v>
      </c>
      <c r="T31" s="63">
        <f>IF(S31&lt;&gt;0,IF((((N31/L31)*('Post Eval Input'!O$23/'Post Eval Input'!O$24)-1)/(1-'Post Eval Input'!AA$20))&lt;-1,-1,(((N31/L31)*('Post Eval Input'!O$23/'Post Eval Input'!O$24)-1)/(1-'Post Eval Input'!AA$20))),0)</f>
        <v>-0.7621975113987893</v>
      </c>
      <c r="U31" s="64">
        <f>'Predicted B-C'!P28</f>
        <v>-0.6</v>
      </c>
      <c r="V31" s="160"/>
      <c r="X31" s="345">
        <f>IF('Post Eval Input'!V39&lt;&gt;0,2.0657*'Post Eval Input'!V39^(-0.4726),0)</f>
        <v>0.4600228631655282</v>
      </c>
      <c r="Y31" s="345">
        <f>IF('Post Eval Input'!V39&lt;&gt;0,3.7137*'Post Eval Input'!V39^(-0.5743),0)</f>
        <v>0.5986203844839189</v>
      </c>
      <c r="AA31" s="408"/>
      <c r="AB31" s="408"/>
      <c r="AC31" s="98"/>
      <c r="AD31" s="98"/>
      <c r="AE31" s="98"/>
      <c r="AF31" s="98"/>
    </row>
    <row r="32" spans="2:32" ht="12.75">
      <c r="B32" s="227"/>
      <c r="C32" s="45">
        <f>'Predicted B-C'!D29</f>
        <v>0</v>
      </c>
      <c r="D32" s="49" t="str">
        <f>'Predicted B-C'!E29</f>
        <v>Rear-end crashes ( expected to increase)</v>
      </c>
      <c r="E32" s="50"/>
      <c r="F32" s="50"/>
      <c r="G32" s="50"/>
      <c r="H32" s="50"/>
      <c r="I32" s="50"/>
      <c r="J32" s="50"/>
      <c r="K32" s="65">
        <f>'Post Eval Input'!V40/'Post Eval Input'!G$23</f>
        <v>2</v>
      </c>
      <c r="L32" s="66">
        <f>'Post Eval Input'!W40/'Post Eval Input'!$G$23</f>
        <v>577.6</v>
      </c>
      <c r="M32" s="67">
        <f>'Post Eval Input'!AC40/'Post Eval Input'!G$24</f>
        <v>2.6666666666666665</v>
      </c>
      <c r="N32" s="68">
        <f>'Post Eval Input'!AD40/'Post Eval Input'!G$24</f>
        <v>819.3333333333334</v>
      </c>
      <c r="O32" s="69">
        <f t="shared" si="0"/>
        <v>0.33333333333333326</v>
      </c>
      <c r="P32" s="70">
        <f>IF(O32&lt;&gt;0,((M32/K32)*('Post Eval Input'!O$23/'Post Eval Input'!O$24)-1),0)</f>
        <v>0.22943722943722933</v>
      </c>
      <c r="Q32" s="75" t="str">
        <f>IF(AND(P32&lt;&gt;0,P32&lt;&gt;""),IF(P32&lt;=0,IF(ABS(P32)&gt;=X32,IF(SIGN(P32)=SIGN('Predicted B-C'!P29),"YES","UKN"),"NO"),IF(ABS(P32)&gt;=Y32,IF(SIGN(P32)=SIGN('Predicted B-C'!P29),"YES","N/A"),"NO")),"")</f>
        <v>NO</v>
      </c>
      <c r="R32" s="72">
        <f>P32/(1-'Post Eval Input'!AA$20)</f>
        <v>0.22943722943722933</v>
      </c>
      <c r="S32" s="73">
        <f t="shared" si="1"/>
        <v>0.4185133887349954</v>
      </c>
      <c r="T32" s="73">
        <f>IF(S32&lt;&gt;0,IF((((N32/L32)*('Post Eval Input'!O$23/'Post Eval Input'!O$24)-1)/(1-'Post Eval Input'!AA$20))&lt;-1,-1,(((N32/L32)*('Post Eval Input'!O$23/'Post Eval Input'!O$24)-1)/(1-'Post Eval Input'!AA$20))),0)</f>
        <v>0.30797987792447623</v>
      </c>
      <c r="U32" s="74">
        <f>'Predicted B-C'!P29</f>
        <v>0.25</v>
      </c>
      <c r="V32" s="160"/>
      <c r="X32" s="345">
        <f>IF('Post Eval Input'!V40&lt;&gt;0,2.0657*'Post Eval Input'!V40^(-0.4726),0)</f>
        <v>0.5934814373779221</v>
      </c>
      <c r="Y32" s="345">
        <f>IF('Post Eval Input'!V40&lt;&gt;0,3.7137*'Post Eval Input'!V40^(-0.5743),0)</f>
        <v>0.8158033545148003</v>
      </c>
      <c r="AA32" s="408"/>
      <c r="AB32" s="408"/>
      <c r="AC32" s="98"/>
      <c r="AD32" s="98"/>
      <c r="AE32" s="98"/>
      <c r="AF32" s="98"/>
    </row>
    <row r="33" spans="2:32" ht="12.75">
      <c r="B33" s="227"/>
      <c r="C33" s="45">
        <f>'Predicted B-C'!D30</f>
        <v>0</v>
      </c>
      <c r="D33" s="51">
        <f>'Predicted B-C'!E30</f>
        <v>0</v>
      </c>
      <c r="E33" s="52"/>
      <c r="F33" s="52"/>
      <c r="G33" s="52"/>
      <c r="H33" s="52"/>
      <c r="I33" s="52"/>
      <c r="J33" s="52"/>
      <c r="K33" s="76">
        <f>'Post Eval Input'!V41/'Post Eval Input'!G$23</f>
        <v>0</v>
      </c>
      <c r="L33" s="77">
        <f>'Post Eval Input'!W41/'Post Eval Input'!$G$23</f>
        <v>0</v>
      </c>
      <c r="M33" s="78">
        <f>'Post Eval Input'!AC41/'Post Eval Input'!G$24</f>
        <v>0</v>
      </c>
      <c r="N33" s="79">
        <f>'Post Eval Input'!AD41/'Post Eval Input'!G$24</f>
        <v>0</v>
      </c>
      <c r="O33" s="80">
        <f t="shared" si="0"/>
        <v>0</v>
      </c>
      <c r="P33" s="81">
        <f>IF(O33&lt;&gt;0,((M33/K33)*('Post Eval Input'!O$23/'Post Eval Input'!O$24)-1),0)</f>
        <v>0</v>
      </c>
      <c r="Q33" s="82">
        <f>IF(AND(P33&lt;&gt;0,P33&lt;&gt;""),IF(P33&lt;=0,IF(ABS(P33)&gt;=X33,IF(SIGN(P33)=SIGN('Predicted B-C'!P30),"YES","UKN"),"NO"),IF(ABS(P33)&gt;=Y33,IF(SIGN(P33)=SIGN('Predicted B-C'!P30),"YES","N/A"),"NO")),"")</f>
      </c>
      <c r="R33" s="83">
        <f>P33/(1-'Post Eval Input'!AA$20)</f>
        <v>0</v>
      </c>
      <c r="S33" s="84">
        <f t="shared" si="1"/>
        <v>0</v>
      </c>
      <c r="T33" s="84">
        <f>IF(S33&lt;&gt;0,IF((((N33/L33)*('Post Eval Input'!O$23/'Post Eval Input'!O$24)-1)/(1-'Post Eval Input'!AA$20))&lt;-1,-1,(((N33/L33)*('Post Eval Input'!O$23/'Post Eval Input'!O$24)-1)/(1-'Post Eval Input'!AA$20))),0)</f>
        <v>0</v>
      </c>
      <c r="U33" s="85">
        <f>'Predicted B-C'!P30</f>
        <v>0</v>
      </c>
      <c r="V33" s="160"/>
      <c r="X33" s="345">
        <f>IF('Post Eval Input'!V41&lt;&gt;0,2.0657*'Post Eval Input'!V41^(-0.4726),0)</f>
        <v>0</v>
      </c>
      <c r="Y33" s="345">
        <f>IF('Post Eval Input'!V41&lt;&gt;0,3.7137*'Post Eval Input'!V41^(-0.5743),0)</f>
        <v>0</v>
      </c>
      <c r="AA33" s="408"/>
      <c r="AB33" s="408"/>
      <c r="AC33" s="98"/>
      <c r="AD33" s="98"/>
      <c r="AE33" s="98"/>
      <c r="AF33" s="98"/>
    </row>
    <row r="34" spans="2:32" ht="12.75">
      <c r="B34" s="227"/>
      <c r="C34" s="44">
        <f>'Predicted B-C'!D31</f>
        <v>0</v>
      </c>
      <c r="D34" s="47">
        <f>'Predicted B-C'!E31</f>
        <v>0</v>
      </c>
      <c r="E34" s="48"/>
      <c r="F34" s="48"/>
      <c r="G34" s="48"/>
      <c r="H34" s="48"/>
      <c r="I34" s="48"/>
      <c r="J34" s="48"/>
      <c r="K34" s="65">
        <f>'Post Eval Input'!V42/'Post Eval Input'!G$23</f>
        <v>0</v>
      </c>
      <c r="L34" s="66">
        <f>'Post Eval Input'!W42/'Post Eval Input'!$G$23</f>
        <v>0</v>
      </c>
      <c r="M34" s="67">
        <f>'Post Eval Input'!AC42/'Post Eval Input'!G$24</f>
        <v>0</v>
      </c>
      <c r="N34" s="68">
        <f>'Post Eval Input'!AD42/'Post Eval Input'!G$24</f>
        <v>0</v>
      </c>
      <c r="O34" s="69">
        <f t="shared" si="0"/>
        <v>0</v>
      </c>
      <c r="P34" s="70">
        <f>IF(O34&lt;&gt;0,((M34/K34)*('Post Eval Input'!O$23/'Post Eval Input'!O$24)-1),0)</f>
        <v>0</v>
      </c>
      <c r="Q34" s="75">
        <f>IF(AND(P34&lt;&gt;0,P34&lt;&gt;""),IF(P34&lt;=0,IF(ABS(P34)&gt;=X34,IF(SIGN(P34)=SIGN('Predicted B-C'!P31),"YES","UKN"),"NO"),IF(ABS(P34)&gt;=Y34,IF(SIGN(P34)=SIGN('Predicted B-C'!P31),"YES","N/A"),"NO")),"")</f>
      </c>
      <c r="R34" s="72">
        <f>P34/(1-'Post Eval Input'!AA$20)</f>
        <v>0</v>
      </c>
      <c r="S34" s="73">
        <f t="shared" si="1"/>
        <v>0</v>
      </c>
      <c r="T34" s="73">
        <f>IF(S34&lt;&gt;0,IF((((N34/L34)*('Post Eval Input'!O$23/'Post Eval Input'!O$24)-1)/(1-'Post Eval Input'!AA$20))&lt;-1,-1,(((N34/L34)*('Post Eval Input'!O$23/'Post Eval Input'!O$24)-1)/(1-'Post Eval Input'!AA$20))),0)</f>
        <v>0</v>
      </c>
      <c r="U34" s="74">
        <f>'Predicted B-C'!P31</f>
        <v>0</v>
      </c>
      <c r="V34" s="160"/>
      <c r="X34" s="345">
        <f>IF('Post Eval Input'!V42&lt;&gt;0,2.0657*'Post Eval Input'!V42^(-0.4726),0)</f>
        <v>0</v>
      </c>
      <c r="Y34" s="345">
        <f>IF('Post Eval Input'!V42&lt;&gt;0,3.7137*'Post Eval Input'!V42^(-0.5743),0)</f>
        <v>0</v>
      </c>
      <c r="AA34" s="408"/>
      <c r="AB34" s="408"/>
      <c r="AC34" s="98"/>
      <c r="AD34" s="98"/>
      <c r="AE34" s="98"/>
      <c r="AF34" s="98"/>
    </row>
    <row r="35" spans="2:32" ht="12.75">
      <c r="B35" s="227"/>
      <c r="C35" s="45">
        <f>'Predicted B-C'!D32</f>
        <v>0</v>
      </c>
      <c r="D35" s="49">
        <f>'Predicted B-C'!E32</f>
        <v>0</v>
      </c>
      <c r="E35" s="50"/>
      <c r="F35" s="50"/>
      <c r="G35" s="50"/>
      <c r="H35" s="50"/>
      <c r="I35" s="50"/>
      <c r="J35" s="50"/>
      <c r="K35" s="65">
        <f>'Post Eval Input'!V43/'Post Eval Input'!G$23</f>
        <v>0</v>
      </c>
      <c r="L35" s="66">
        <f>'Post Eval Input'!W43/'Post Eval Input'!$G$23</f>
        <v>0</v>
      </c>
      <c r="M35" s="67">
        <f>'Post Eval Input'!AC43/'Post Eval Input'!G$24</f>
        <v>0</v>
      </c>
      <c r="N35" s="68">
        <f>'Post Eval Input'!AD43/'Post Eval Input'!G$24</f>
        <v>0</v>
      </c>
      <c r="O35" s="69">
        <f t="shared" si="0"/>
        <v>0</v>
      </c>
      <c r="P35" s="70">
        <f>IF(O35&lt;&gt;0,((M35/K35)*('Post Eval Input'!O$23/'Post Eval Input'!O$24)-1),0)</f>
        <v>0</v>
      </c>
      <c r="Q35" s="75">
        <f>IF(AND(P35&lt;&gt;0,P35&lt;&gt;""),IF(P35&lt;=0,IF(ABS(P35)&gt;=X35,IF(SIGN(P35)=SIGN('Predicted B-C'!P32),"YES","UKN"),"NO"),IF(ABS(P35)&gt;=Y35,IF(SIGN(P35)=SIGN('Predicted B-C'!P32),"YES","N/A"),"NO")),"")</f>
      </c>
      <c r="R35" s="72">
        <f>P35/(1-'Post Eval Input'!AA$20)</f>
        <v>0</v>
      </c>
      <c r="S35" s="73">
        <f t="shared" si="1"/>
        <v>0</v>
      </c>
      <c r="T35" s="73">
        <f>IF(S35&lt;&gt;0,IF((((N35/L35)*('Post Eval Input'!O$23/'Post Eval Input'!O$24)-1)/(1-'Post Eval Input'!AA$20))&lt;-1,-1,(((N35/L35)*('Post Eval Input'!O$23/'Post Eval Input'!O$24)-1)/(1-'Post Eval Input'!AA$20))),0)</f>
        <v>0</v>
      </c>
      <c r="U35" s="74">
        <f>'Predicted B-C'!P32</f>
        <v>0</v>
      </c>
      <c r="V35" s="160"/>
      <c r="X35" s="345">
        <f>IF('Post Eval Input'!V43&lt;&gt;0,2.0657*'Post Eval Input'!V43^(-0.4726),0)</f>
        <v>0</v>
      </c>
      <c r="Y35" s="345">
        <f>IF('Post Eval Input'!V43&lt;&gt;0,3.7137*'Post Eval Input'!V43^(-0.5743),0)</f>
        <v>0</v>
      </c>
      <c r="AA35" s="408"/>
      <c r="AB35" s="408"/>
      <c r="AC35" s="98"/>
      <c r="AD35" s="98"/>
      <c r="AE35" s="98"/>
      <c r="AF35" s="98"/>
    </row>
    <row r="36" spans="2:32" ht="12.75" customHeight="1" thickBot="1">
      <c r="B36" s="227"/>
      <c r="C36" s="46">
        <f>'Predicted B-C'!D33</f>
        <v>0</v>
      </c>
      <c r="D36" s="53">
        <f>'Predicted B-C'!E33</f>
        <v>0</v>
      </c>
      <c r="E36" s="54"/>
      <c r="F36" s="54"/>
      <c r="G36" s="54"/>
      <c r="H36" s="54"/>
      <c r="I36" s="54"/>
      <c r="J36" s="54"/>
      <c r="K36" s="86">
        <f>'Post Eval Input'!V44/'Post Eval Input'!G$23</f>
        <v>0</v>
      </c>
      <c r="L36" s="87">
        <f>'Post Eval Input'!W44/'Post Eval Input'!$G$23</f>
        <v>0</v>
      </c>
      <c r="M36" s="88">
        <f>'Post Eval Input'!AC44/'Post Eval Input'!G$24</f>
        <v>0</v>
      </c>
      <c r="N36" s="89">
        <f>'Post Eval Input'!AD44/'Post Eval Input'!G$24</f>
        <v>0</v>
      </c>
      <c r="O36" s="90">
        <f t="shared" si="0"/>
        <v>0</v>
      </c>
      <c r="P36" s="91">
        <f>IF(O36&lt;&gt;0,((M36/K36)*('Post Eval Input'!O$23/'Post Eval Input'!O$24)-1),0)</f>
        <v>0</v>
      </c>
      <c r="Q36" s="92">
        <f>IF(AND(P36&lt;&gt;0,P36&lt;&gt;""),IF(P36&lt;=0,IF(ABS(P36)&gt;=X36,IF(SIGN(P36)=SIGN('Predicted B-C'!P33),"YES","UKN"),"NO"),IF(ABS(P36)&gt;=Y36,IF(SIGN(P36)=SIGN('Predicted B-C'!P33),"YES","N/A"),"NO")),"")</f>
      </c>
      <c r="R36" s="93">
        <f>P36/(1-'Post Eval Input'!AA$20)</f>
        <v>0</v>
      </c>
      <c r="S36" s="94">
        <f t="shared" si="1"/>
        <v>0</v>
      </c>
      <c r="T36" s="94">
        <f>IF(S36&lt;&gt;0,IF((((N36/L36)*('Post Eval Input'!O$23/'Post Eval Input'!O$24)-1)/(1-'Post Eval Input'!AA$20))&lt;-1,-1,(((N36/L36)*('Post Eval Input'!O$23/'Post Eval Input'!O$24)-1)/(1-'Post Eval Input'!AA$20))),0)</f>
        <v>0</v>
      </c>
      <c r="U36" s="95">
        <f>'Predicted B-C'!P33</f>
        <v>0</v>
      </c>
      <c r="V36" s="160"/>
      <c r="X36" s="345">
        <f>IF('Post Eval Input'!V44&lt;&gt;0,2.0657*'Post Eval Input'!V44^(-0.4726),0)</f>
        <v>0</v>
      </c>
      <c r="Y36" s="345">
        <f>IF('Post Eval Input'!V44&lt;&gt;0,3.7137*'Post Eval Input'!V44^(-0.5743),0)</f>
        <v>0</v>
      </c>
      <c r="AA36" s="408"/>
      <c r="AB36" s="408"/>
      <c r="AC36" s="98"/>
      <c r="AD36" s="98"/>
      <c r="AE36" s="98"/>
      <c r="AF36" s="98"/>
    </row>
    <row r="37" spans="2:32" ht="12.75">
      <c r="B37" s="227"/>
      <c r="C37" s="279"/>
      <c r="D37" s="279"/>
      <c r="E37" s="279"/>
      <c r="F37" s="279"/>
      <c r="G37" s="279"/>
      <c r="H37" s="279"/>
      <c r="I37" s="279"/>
      <c r="J37" s="279"/>
      <c r="K37" s="279"/>
      <c r="L37" s="279"/>
      <c r="M37" s="279"/>
      <c r="N37" s="279"/>
      <c r="O37" s="279"/>
      <c r="P37" s="279"/>
      <c r="Q37" s="279"/>
      <c r="R37" s="279"/>
      <c r="S37" s="279"/>
      <c r="T37" s="279"/>
      <c r="U37" s="279"/>
      <c r="V37" s="160"/>
      <c r="AB37" s="184"/>
      <c r="AC37" s="184"/>
      <c r="AD37" s="184"/>
      <c r="AE37" s="184"/>
      <c r="AF37" s="184"/>
    </row>
    <row r="38" spans="2:32" ht="12.75" customHeight="1">
      <c r="B38" s="227"/>
      <c r="C38" s="279"/>
      <c r="D38" s="279"/>
      <c r="E38" s="279"/>
      <c r="F38" s="279"/>
      <c r="G38" s="279"/>
      <c r="H38" s="279"/>
      <c r="I38" s="279"/>
      <c r="J38" s="279"/>
      <c r="K38" s="279"/>
      <c r="L38" s="279"/>
      <c r="M38" s="279"/>
      <c r="N38" s="279"/>
      <c r="O38" s="279"/>
      <c r="P38" s="279"/>
      <c r="Q38" s="279"/>
      <c r="R38" s="279"/>
      <c r="S38" s="279"/>
      <c r="T38" s="279"/>
      <c r="U38" s="279"/>
      <c r="V38" s="160"/>
      <c r="X38" s="301"/>
      <c r="Y38" s="301"/>
      <c r="AB38" s="184"/>
      <c r="AC38" s="184"/>
      <c r="AD38" s="184"/>
      <c r="AE38" s="184"/>
      <c r="AF38" s="184"/>
    </row>
    <row r="39" spans="2:25" ht="12.75" customHeight="1">
      <c r="B39" s="227"/>
      <c r="C39" s="279"/>
      <c r="D39" s="279"/>
      <c r="E39" s="279"/>
      <c r="F39" s="279"/>
      <c r="G39" s="279"/>
      <c r="H39" s="279"/>
      <c r="I39" s="279"/>
      <c r="J39" s="279"/>
      <c r="K39" s="279"/>
      <c r="L39" s="279"/>
      <c r="M39" s="279"/>
      <c r="N39" s="279"/>
      <c r="O39" s="279"/>
      <c r="P39" s="279"/>
      <c r="Q39" s="279"/>
      <c r="R39" s="279"/>
      <c r="S39" s="279"/>
      <c r="T39" s="279"/>
      <c r="U39" s="279"/>
      <c r="V39" s="160"/>
      <c r="X39" s="301"/>
      <c r="Y39" s="301"/>
    </row>
    <row r="40" spans="2:32" ht="12.75" customHeight="1">
      <c r="B40" s="227"/>
      <c r="C40" s="279"/>
      <c r="D40" s="279"/>
      <c r="E40" s="279"/>
      <c r="F40" s="279"/>
      <c r="G40" s="279"/>
      <c r="H40" s="279"/>
      <c r="I40" s="279"/>
      <c r="J40" s="279"/>
      <c r="K40" s="279"/>
      <c r="L40" s="279"/>
      <c r="M40" s="279"/>
      <c r="N40" s="279"/>
      <c r="O40" s="279"/>
      <c r="P40" s="279"/>
      <c r="Q40" s="279"/>
      <c r="R40" s="279"/>
      <c r="S40" s="279"/>
      <c r="T40" s="279"/>
      <c r="U40" s="279"/>
      <c r="V40" s="160"/>
      <c r="X40" s="301"/>
      <c r="Y40" s="301"/>
      <c r="Z40" s="184"/>
      <c r="AA40" s="184"/>
      <c r="AB40" s="184"/>
      <c r="AC40" s="184"/>
      <c r="AD40" s="184"/>
      <c r="AE40" s="184"/>
      <c r="AF40" s="184"/>
    </row>
    <row r="41" spans="2:32" ht="15.75" customHeight="1">
      <c r="B41" s="227"/>
      <c r="C41" s="279"/>
      <c r="D41" s="279"/>
      <c r="E41" s="279"/>
      <c r="F41" s="279"/>
      <c r="G41" s="279"/>
      <c r="H41" s="279"/>
      <c r="I41" s="279"/>
      <c r="J41" s="279"/>
      <c r="K41" s="279"/>
      <c r="L41" s="279"/>
      <c r="M41" s="279"/>
      <c r="N41" s="279"/>
      <c r="O41" s="279"/>
      <c r="P41" s="279"/>
      <c r="Q41" s="279"/>
      <c r="R41" s="279"/>
      <c r="S41" s="279"/>
      <c r="T41" s="279"/>
      <c r="U41" s="279"/>
      <c r="V41" s="160"/>
      <c r="X41" s="301"/>
      <c r="Y41" s="301"/>
      <c r="Z41" s="184"/>
      <c r="AA41" s="184"/>
      <c r="AB41" s="184"/>
      <c r="AC41" s="184"/>
      <c r="AD41" s="184"/>
      <c r="AE41" s="184"/>
      <c r="AF41" s="184"/>
    </row>
    <row r="42" spans="2:53" ht="12.75">
      <c r="B42" s="222"/>
      <c r="C42" s="223"/>
      <c r="D42" s="223"/>
      <c r="E42" s="223"/>
      <c r="F42" s="223"/>
      <c r="G42" s="223"/>
      <c r="H42" s="223"/>
      <c r="I42" s="223"/>
      <c r="J42" s="223"/>
      <c r="K42" s="223"/>
      <c r="L42" s="223"/>
      <c r="M42" s="223"/>
      <c r="N42" s="223"/>
      <c r="O42" s="223"/>
      <c r="P42" s="223"/>
      <c r="Q42" s="223"/>
      <c r="R42" s="223"/>
      <c r="S42" s="223"/>
      <c r="T42" s="223"/>
      <c r="U42" s="223"/>
      <c r="V42" s="224"/>
      <c r="X42" s="282"/>
      <c r="Y42" s="282"/>
      <c r="Z42" s="282"/>
      <c r="AA42" s="282"/>
      <c r="AB42" s="282"/>
      <c r="AC42" s="282"/>
      <c r="AD42" s="282"/>
      <c r="AE42" s="184"/>
      <c r="AF42" s="409"/>
      <c r="AM42" s="479" t="s">
        <v>217</v>
      </c>
      <c r="AS42" s="411"/>
      <c r="AU42" s="479" t="s">
        <v>216</v>
      </c>
      <c r="AZ42" s="184"/>
      <c r="BA42" s="184"/>
    </row>
    <row r="43" spans="17:53" ht="12.75">
      <c r="Q43" s="410"/>
      <c r="X43" s="184"/>
      <c r="Y43" s="184"/>
      <c r="Z43" s="184"/>
      <c r="AA43" s="184"/>
      <c r="AB43" s="184"/>
      <c r="AC43" s="184"/>
      <c r="AD43" s="184"/>
      <c r="AE43" s="184"/>
      <c r="AF43" s="409"/>
      <c r="AG43" s="225"/>
      <c r="AM43" s="475" t="s">
        <v>218</v>
      </c>
      <c r="AN43" s="475"/>
      <c r="AO43" s="475"/>
      <c r="AP43" s="475"/>
      <c r="AQ43" s="475"/>
      <c r="AR43" s="475"/>
      <c r="AS43" s="476"/>
      <c r="AT43" s="475"/>
      <c r="AU43" s="475" t="s">
        <v>208</v>
      </c>
      <c r="AW43" s="475"/>
      <c r="AX43" s="475"/>
      <c r="AY43" s="475"/>
      <c r="AZ43" s="184"/>
      <c r="BA43" s="184"/>
    </row>
    <row r="44" spans="17:53" ht="12.75">
      <c r="Q44" s="411"/>
      <c r="X44" s="184"/>
      <c r="Y44" s="184"/>
      <c r="Z44" s="184"/>
      <c r="AA44" s="184"/>
      <c r="AB44" s="184" t="s">
        <v>3</v>
      </c>
      <c r="AC44" s="184"/>
      <c r="AD44" s="184"/>
      <c r="AE44" s="184"/>
      <c r="AF44" s="409"/>
      <c r="AG44" s="225"/>
      <c r="AM44" s="477" t="s">
        <v>203</v>
      </c>
      <c r="AN44" s="477"/>
      <c r="AO44" s="477"/>
      <c r="AP44" s="477"/>
      <c r="AQ44" s="477"/>
      <c r="AR44" s="477"/>
      <c r="AS44" s="477"/>
      <c r="AT44" s="477"/>
      <c r="AU44" s="477"/>
      <c r="AV44" s="477"/>
      <c r="AW44" s="475"/>
      <c r="AX44" s="477"/>
      <c r="AY44" s="477"/>
      <c r="AZ44" s="184"/>
      <c r="BA44" s="184"/>
    </row>
    <row r="45" spans="26:53" ht="12.75">
      <c r="Z45" s="184"/>
      <c r="AA45" s="184"/>
      <c r="AB45" s="184"/>
      <c r="AC45" s="184"/>
      <c r="AD45" s="184"/>
      <c r="AE45" s="184"/>
      <c r="AF45" s="184"/>
      <c r="AM45" s="477"/>
      <c r="AN45" s="477"/>
      <c r="AO45" s="477"/>
      <c r="AP45" s="477"/>
      <c r="AQ45" s="477"/>
      <c r="AR45" s="477"/>
      <c r="AS45" s="477"/>
      <c r="AT45" s="477"/>
      <c r="AU45" s="477"/>
      <c r="AV45" s="477"/>
      <c r="AW45" s="477"/>
      <c r="AX45" s="477"/>
      <c r="AY45" s="477"/>
      <c r="AZ45" s="184"/>
      <c r="BA45" s="184"/>
    </row>
    <row r="46" spans="26:53" ht="12.75">
      <c r="Z46" s="184"/>
      <c r="AA46" s="184"/>
      <c r="AB46" s="184"/>
      <c r="AC46" s="184"/>
      <c r="AD46" s="184"/>
      <c r="AE46" s="184"/>
      <c r="AF46" s="184"/>
      <c r="AM46" s="477"/>
      <c r="AN46" s="477" t="s">
        <v>219</v>
      </c>
      <c r="AO46" s="477"/>
      <c r="AP46" s="477"/>
      <c r="AQ46" s="477"/>
      <c r="AR46" s="477"/>
      <c r="AS46" s="477"/>
      <c r="AT46" s="477"/>
      <c r="AU46" s="477" t="s">
        <v>207</v>
      </c>
      <c r="AW46" s="477"/>
      <c r="AX46" s="477"/>
      <c r="AY46" s="477"/>
      <c r="AZ46" s="184"/>
      <c r="BA46" s="184"/>
    </row>
    <row r="47" spans="26:53" ht="12.75">
      <c r="Z47" s="184"/>
      <c r="AA47" s="184"/>
      <c r="AB47" s="184"/>
      <c r="AC47" s="184"/>
      <c r="AD47" s="184"/>
      <c r="AE47" s="184"/>
      <c r="AF47" s="184"/>
      <c r="AM47" s="477"/>
      <c r="AN47" s="477"/>
      <c r="AO47" s="477"/>
      <c r="AP47" s="477"/>
      <c r="AQ47" s="477"/>
      <c r="AR47" s="477"/>
      <c r="AS47" s="477"/>
      <c r="AT47" s="477"/>
      <c r="AU47" s="477"/>
      <c r="AV47" s="477"/>
      <c r="AW47" s="477"/>
      <c r="AX47" s="477"/>
      <c r="AY47" s="477"/>
      <c r="AZ47" s="184"/>
      <c r="BA47" s="184"/>
    </row>
    <row r="48" spans="26:53" ht="12.75">
      <c r="Z48" s="184"/>
      <c r="AA48" s="184"/>
      <c r="AB48" s="184"/>
      <c r="AC48" s="184"/>
      <c r="AD48" s="184"/>
      <c r="AE48" s="184"/>
      <c r="AF48" s="184"/>
      <c r="AM48" s="477"/>
      <c r="AN48" s="477" t="s">
        <v>205</v>
      </c>
      <c r="AO48" s="477"/>
      <c r="AP48" s="477"/>
      <c r="AQ48" s="477"/>
      <c r="AR48" s="477"/>
      <c r="AS48" s="477"/>
      <c r="AT48" s="477"/>
      <c r="AU48" s="477" t="s">
        <v>212</v>
      </c>
      <c r="AW48" s="477"/>
      <c r="AX48" s="477"/>
      <c r="AY48" s="477"/>
      <c r="AZ48" s="184"/>
      <c r="BA48" s="184"/>
    </row>
    <row r="49" spans="26:53" ht="12.75">
      <c r="Z49" s="184"/>
      <c r="AA49" s="184"/>
      <c r="AB49" s="184"/>
      <c r="AC49" s="184"/>
      <c r="AD49" s="184"/>
      <c r="AE49" s="184"/>
      <c r="AF49" s="184"/>
      <c r="AM49" s="477"/>
      <c r="AN49" s="477"/>
      <c r="AO49" s="478" t="s">
        <v>220</v>
      </c>
      <c r="AP49" s="477"/>
      <c r="AQ49" s="477"/>
      <c r="AR49" s="477"/>
      <c r="AS49" s="477"/>
      <c r="AT49" s="477"/>
      <c r="AU49" s="477"/>
      <c r="AV49" s="477" t="s">
        <v>214</v>
      </c>
      <c r="AW49" s="477"/>
      <c r="AX49" s="477"/>
      <c r="AY49" s="477"/>
      <c r="AZ49" s="184"/>
      <c r="BA49" s="184"/>
    </row>
    <row r="50" spans="26:53" ht="12.75">
      <c r="Z50" s="184"/>
      <c r="AA50" s="184"/>
      <c r="AB50" s="184"/>
      <c r="AC50" s="184"/>
      <c r="AD50" s="184"/>
      <c r="AE50" s="184"/>
      <c r="AF50" s="184"/>
      <c r="AM50" s="477"/>
      <c r="AN50" s="477"/>
      <c r="AO50" s="477"/>
      <c r="AP50" s="477" t="s">
        <v>205</v>
      </c>
      <c r="AQ50" s="477"/>
      <c r="AR50" s="477"/>
      <c r="AS50" s="477"/>
      <c r="AT50" s="477"/>
      <c r="AU50" s="477"/>
      <c r="AV50" s="477"/>
      <c r="AW50" s="477"/>
      <c r="AX50" s="477"/>
      <c r="AY50" s="477"/>
      <c r="AZ50" s="184"/>
      <c r="BA50" s="184"/>
    </row>
    <row r="51" spans="26:53" ht="12.75">
      <c r="Z51" s="184"/>
      <c r="AA51" s="184"/>
      <c r="AB51" s="184"/>
      <c r="AC51" s="184"/>
      <c r="AD51" s="184"/>
      <c r="AE51" s="184"/>
      <c r="AF51" s="184"/>
      <c r="AM51" s="477"/>
      <c r="AN51" s="477"/>
      <c r="AO51" s="477"/>
      <c r="AP51" s="477"/>
      <c r="AQ51" s="477" t="s">
        <v>228</v>
      </c>
      <c r="AR51" s="477"/>
      <c r="AS51" s="477"/>
      <c r="AT51" s="477"/>
      <c r="AU51" s="477"/>
      <c r="AV51" s="477" t="s">
        <v>211</v>
      </c>
      <c r="AW51" s="477"/>
      <c r="AX51" s="477"/>
      <c r="AY51" s="477"/>
      <c r="AZ51" s="184"/>
      <c r="BA51" s="184"/>
    </row>
    <row r="52" spans="26:53" ht="12.75">
      <c r="Z52" s="184"/>
      <c r="AA52" s="184"/>
      <c r="AB52" s="184"/>
      <c r="AC52" s="184"/>
      <c r="AD52" s="184"/>
      <c r="AE52" s="184"/>
      <c r="AF52" s="184"/>
      <c r="AM52" s="477"/>
      <c r="AN52" s="477"/>
      <c r="AO52" s="477"/>
      <c r="AP52" s="477"/>
      <c r="AQ52" s="477" t="s">
        <v>222</v>
      </c>
      <c r="AR52" s="477"/>
      <c r="AS52" s="477"/>
      <c r="AT52" s="477"/>
      <c r="AU52" s="477"/>
      <c r="AV52" s="477" t="s">
        <v>209</v>
      </c>
      <c r="AW52" s="477"/>
      <c r="AX52" s="477"/>
      <c r="AY52" s="477"/>
      <c r="AZ52" s="184"/>
      <c r="BA52" s="184"/>
    </row>
    <row r="53" spans="26:53" ht="12.75">
      <c r="Z53" s="184"/>
      <c r="AA53" s="184"/>
      <c r="AB53" s="184"/>
      <c r="AC53" s="184"/>
      <c r="AD53" s="184"/>
      <c r="AE53" s="184"/>
      <c r="AF53" s="184"/>
      <c r="AM53" s="477"/>
      <c r="AN53" s="477"/>
      <c r="AO53" s="477"/>
      <c r="AP53" s="477"/>
      <c r="AQ53" s="477" t="s">
        <v>226</v>
      </c>
      <c r="AR53" s="477"/>
      <c r="AS53" s="477"/>
      <c r="AT53" s="477"/>
      <c r="AU53" s="477"/>
      <c r="AV53" s="477" t="s">
        <v>227</v>
      </c>
      <c r="AW53" s="477"/>
      <c r="AX53" s="477"/>
      <c r="AY53" s="477"/>
      <c r="AZ53" s="184"/>
      <c r="BA53" s="184"/>
    </row>
    <row r="54" spans="26:53" ht="12.75">
      <c r="Z54" s="184"/>
      <c r="AA54" s="184"/>
      <c r="AB54" s="184"/>
      <c r="AC54" s="184"/>
      <c r="AD54" s="184"/>
      <c r="AE54" s="184"/>
      <c r="AF54" s="184"/>
      <c r="AM54" s="477"/>
      <c r="AN54" s="477"/>
      <c r="AO54" s="477"/>
      <c r="AP54" s="477" t="s">
        <v>206</v>
      </c>
      <c r="AQ54" s="477"/>
      <c r="AR54" s="477"/>
      <c r="AS54" s="477"/>
      <c r="AT54" s="477"/>
      <c r="AU54" s="477"/>
      <c r="AV54" s="477" t="s">
        <v>210</v>
      </c>
      <c r="AW54" s="477"/>
      <c r="AX54" s="477"/>
      <c r="AY54" s="477"/>
      <c r="AZ54" s="184"/>
      <c r="BA54" s="184"/>
    </row>
    <row r="55" spans="26:53" ht="12.75">
      <c r="Z55" s="184"/>
      <c r="AA55" s="184"/>
      <c r="AB55" s="184"/>
      <c r="AC55" s="184"/>
      <c r="AD55" s="184"/>
      <c r="AE55" s="184"/>
      <c r="AF55" s="184"/>
      <c r="AM55" s="477"/>
      <c r="AN55" s="477"/>
      <c r="AO55" s="477"/>
      <c r="AP55" s="477"/>
      <c r="AQ55" s="477"/>
      <c r="AR55" s="477"/>
      <c r="AS55" s="477"/>
      <c r="AT55" s="477"/>
      <c r="AU55" s="477"/>
      <c r="AV55" s="477"/>
      <c r="AW55" s="477"/>
      <c r="AX55" s="477"/>
      <c r="AY55" s="477"/>
      <c r="AZ55" s="184"/>
      <c r="BA55" s="184"/>
    </row>
    <row r="56" spans="26:53" ht="12.75">
      <c r="Z56" s="184"/>
      <c r="AA56" s="184"/>
      <c r="AB56" s="184"/>
      <c r="AC56" s="184"/>
      <c r="AD56" s="184"/>
      <c r="AE56" s="184"/>
      <c r="AF56" s="184"/>
      <c r="AM56" s="477"/>
      <c r="AN56" s="478" t="s">
        <v>204</v>
      </c>
      <c r="AO56" s="477"/>
      <c r="AP56" s="477"/>
      <c r="AQ56" s="477"/>
      <c r="AR56" s="477"/>
      <c r="AS56" s="477"/>
      <c r="AT56" s="477"/>
      <c r="AU56" s="477" t="s">
        <v>213</v>
      </c>
      <c r="AW56" s="477"/>
      <c r="AX56" s="477"/>
      <c r="AY56" s="477"/>
      <c r="AZ56" s="184"/>
      <c r="BA56" s="184"/>
    </row>
    <row r="57" spans="26:53" ht="12.75">
      <c r="Z57" s="184"/>
      <c r="AA57" s="184"/>
      <c r="AB57" s="184"/>
      <c r="AC57" s="184"/>
      <c r="AD57" s="184"/>
      <c r="AE57" s="184"/>
      <c r="AF57" s="184"/>
      <c r="AM57" s="477"/>
      <c r="AN57" s="477"/>
      <c r="AO57" s="478" t="s">
        <v>221</v>
      </c>
      <c r="AP57" s="477"/>
      <c r="AQ57" s="477"/>
      <c r="AR57" s="477"/>
      <c r="AS57" s="477"/>
      <c r="AT57" s="477"/>
      <c r="AU57" s="477"/>
      <c r="AV57" s="477" t="s">
        <v>214</v>
      </c>
      <c r="AW57" s="477"/>
      <c r="AX57" s="477"/>
      <c r="AY57" s="477"/>
      <c r="AZ57" s="184"/>
      <c r="BA57" s="184"/>
    </row>
    <row r="58" spans="26:53" ht="12.75">
      <c r="Z58" s="184"/>
      <c r="AA58" s="184"/>
      <c r="AB58" s="184"/>
      <c r="AC58" s="184"/>
      <c r="AD58" s="301"/>
      <c r="AE58" s="301"/>
      <c r="AF58" s="184"/>
      <c r="AM58" s="477"/>
      <c r="AN58" s="477"/>
      <c r="AO58" s="477"/>
      <c r="AP58" s="477" t="s">
        <v>205</v>
      </c>
      <c r="AQ58" s="477"/>
      <c r="AR58" s="477"/>
      <c r="AS58" s="477"/>
      <c r="AT58" s="477"/>
      <c r="AU58" s="477"/>
      <c r="AV58" s="477"/>
      <c r="AW58" s="477"/>
      <c r="AX58" s="477"/>
      <c r="AY58" s="477"/>
      <c r="AZ58" s="184"/>
      <c r="BA58" s="184"/>
    </row>
    <row r="59" spans="39:53" ht="12.75">
      <c r="AM59" s="477"/>
      <c r="AN59" s="477"/>
      <c r="AO59" s="477"/>
      <c r="AP59" s="477"/>
      <c r="AQ59" s="477" t="s">
        <v>228</v>
      </c>
      <c r="AR59" s="477"/>
      <c r="AS59" s="477"/>
      <c r="AT59" s="477"/>
      <c r="AU59" s="477"/>
      <c r="AV59" s="477" t="s">
        <v>211</v>
      </c>
      <c r="AW59" s="477"/>
      <c r="AX59" s="477"/>
      <c r="AY59" s="477"/>
      <c r="AZ59" s="184"/>
      <c r="BA59" s="184"/>
    </row>
    <row r="60" spans="39:53" ht="12.75">
      <c r="AM60" s="477"/>
      <c r="AN60" s="477"/>
      <c r="AO60" s="477"/>
      <c r="AP60" s="477"/>
      <c r="AQ60" s="477" t="s">
        <v>223</v>
      </c>
      <c r="AR60" s="477"/>
      <c r="AS60" s="477"/>
      <c r="AT60" s="477"/>
      <c r="AU60" s="477"/>
      <c r="AV60" s="477" t="s">
        <v>209</v>
      </c>
      <c r="AW60" s="477"/>
      <c r="AX60" s="477"/>
      <c r="AY60" s="477"/>
      <c r="AZ60" s="184"/>
      <c r="BA60" s="184"/>
    </row>
    <row r="61" spans="39:53" ht="12.75">
      <c r="AM61" s="477"/>
      <c r="AN61" s="477"/>
      <c r="AO61" s="477"/>
      <c r="AP61" s="477"/>
      <c r="AQ61" s="477" t="s">
        <v>226</v>
      </c>
      <c r="AR61" s="477"/>
      <c r="AS61" s="477"/>
      <c r="AT61" s="477"/>
      <c r="AU61" s="477"/>
      <c r="AV61" s="477" t="s">
        <v>227</v>
      </c>
      <c r="AW61" s="477"/>
      <c r="AX61" s="477"/>
      <c r="AY61" s="477"/>
      <c r="AZ61" s="184"/>
      <c r="BA61" s="184"/>
    </row>
    <row r="62" spans="39:53" ht="12.75">
      <c r="AM62" s="477"/>
      <c r="AN62" s="477"/>
      <c r="AO62" s="477"/>
      <c r="AP62" s="477" t="s">
        <v>206</v>
      </c>
      <c r="AQ62" s="477"/>
      <c r="AR62" s="477"/>
      <c r="AS62" s="477"/>
      <c r="AT62" s="477"/>
      <c r="AU62" s="477"/>
      <c r="AV62" s="477" t="s">
        <v>210</v>
      </c>
      <c r="AW62" s="477"/>
      <c r="AX62" s="477"/>
      <c r="AY62" s="477"/>
      <c r="AZ62" s="184"/>
      <c r="BA62" s="184"/>
    </row>
    <row r="63" spans="39:53" ht="12.75">
      <c r="AM63" s="477"/>
      <c r="AN63" s="477"/>
      <c r="AO63" s="477"/>
      <c r="AP63" s="477"/>
      <c r="AQ63" s="477"/>
      <c r="AR63" s="477"/>
      <c r="AS63" s="477"/>
      <c r="AT63" s="477"/>
      <c r="AU63" s="477"/>
      <c r="AV63" s="477"/>
      <c r="AW63" s="477"/>
      <c r="AX63" s="477"/>
      <c r="AY63" s="477"/>
      <c r="AZ63" s="184"/>
      <c r="BA63" s="184"/>
    </row>
    <row r="64" spans="39:53" ht="12.75">
      <c r="AM64" s="477" t="s">
        <v>204</v>
      </c>
      <c r="AN64" s="477"/>
      <c r="AO64" s="477"/>
      <c r="AP64" s="477"/>
      <c r="AQ64" s="477"/>
      <c r="AR64" s="477"/>
      <c r="AS64" s="477"/>
      <c r="AT64" s="477"/>
      <c r="AU64" s="477"/>
      <c r="AV64" s="477"/>
      <c r="AW64" s="477"/>
      <c r="AX64" s="477"/>
      <c r="AY64" s="477"/>
      <c r="AZ64" s="184"/>
      <c r="BA64" s="184"/>
    </row>
    <row r="65" spans="39:53" ht="12.75">
      <c r="AM65" s="477" t="s">
        <v>224</v>
      </c>
      <c r="AN65" s="477"/>
      <c r="AO65" s="477"/>
      <c r="AP65" s="477"/>
      <c r="AQ65" s="477"/>
      <c r="AR65" s="477"/>
      <c r="AS65" s="477"/>
      <c r="AT65" s="477"/>
      <c r="AU65" s="477" t="s">
        <v>215</v>
      </c>
      <c r="AV65" s="477"/>
      <c r="AW65" s="477"/>
      <c r="AX65" s="477"/>
      <c r="AY65" s="477"/>
      <c r="AZ65" s="184"/>
      <c r="BA65" s="184"/>
    </row>
    <row r="66" ht="12.75"/>
    <row r="67" ht="12.75"/>
    <row r="68" ht="12.75">
      <c r="E68" s="411"/>
    </row>
    <row r="69" ht="12.75">
      <c r="E69" s="411"/>
    </row>
    <row r="70" ht="12.75">
      <c r="E70" s="411"/>
    </row>
    <row r="71" ht="12.75"/>
    <row r="72" ht="12.75"/>
  </sheetData>
  <sheetProtection password="CD64" sheet="1"/>
  <mergeCells count="5">
    <mergeCell ref="AS5:AU5"/>
    <mergeCell ref="D8:J8"/>
    <mergeCell ref="S8:T8"/>
    <mergeCell ref="K8:M8"/>
    <mergeCell ref="N8:Q8"/>
  </mergeCells>
  <printOptions horizontalCentered="1"/>
  <pageMargins left="0.41" right="0.3" top="0.66" bottom="0.17" header="0.28" footer="0.32"/>
  <pageSetup fitToHeight="1" fitToWidth="1" horizontalDpi="600" verticalDpi="600" orientation="landscape" scale="78" r:id="rId4"/>
  <headerFooter alignWithMargins="0">
    <oddFooter>&amp;LAlaska HSIP Handbook&amp;CA-5&amp;REffective April 18, 2022
</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2:M44"/>
  <sheetViews>
    <sheetView showGridLines="0" showZeros="0" zoomScaleSheetLayoutView="100" zoomScalePageLayoutView="0" workbookViewId="0" topLeftCell="A1">
      <selection activeCell="E13" sqref="E13:I13"/>
    </sheetView>
  </sheetViews>
  <sheetFormatPr defaultColWidth="9.00390625" defaultRowHeight="12.75"/>
  <cols>
    <col min="1" max="1" width="1.25" style="571" customWidth="1"/>
    <col min="2" max="2" width="1.875" style="571" customWidth="1"/>
    <col min="3" max="3" width="14.875" style="571" customWidth="1"/>
    <col min="4" max="4" width="28.00390625" style="571" customWidth="1"/>
    <col min="5" max="5" width="10.00390625" style="571" customWidth="1"/>
    <col min="6" max="6" width="12.25390625" style="571" customWidth="1"/>
    <col min="7" max="7" width="4.125" style="571" customWidth="1"/>
    <col min="8" max="8" width="9.875" style="571" bestFit="1" customWidth="1"/>
    <col min="9" max="9" width="12.625" style="571" bestFit="1" customWidth="1"/>
    <col min="10" max="10" width="1.875" style="571" customWidth="1"/>
    <col min="11" max="11" width="2.375" style="571" customWidth="1"/>
    <col min="12" max="12" width="11.75390625" style="571" bestFit="1" customWidth="1"/>
    <col min="13" max="16384" width="9.125" style="571" customWidth="1"/>
  </cols>
  <sheetData>
    <row r="1" ht="6" customHeight="1"/>
    <row r="2" spans="2:10" ht="12.75">
      <c r="B2" s="10"/>
      <c r="C2" s="11"/>
      <c r="D2" s="11"/>
      <c r="E2" s="11"/>
      <c r="F2" s="11"/>
      <c r="G2" s="11"/>
      <c r="H2" s="11"/>
      <c r="I2" s="11"/>
      <c r="J2" s="480"/>
    </row>
    <row r="3" spans="2:10" ht="12.75">
      <c r="B3" s="12"/>
      <c r="C3" s="13"/>
      <c r="D3" s="5" t="s">
        <v>255</v>
      </c>
      <c r="E3" s="5"/>
      <c r="F3" s="6"/>
      <c r="G3" s="6"/>
      <c r="H3" s="6"/>
      <c r="I3" s="13"/>
      <c r="J3" s="14"/>
    </row>
    <row r="4" spans="2:13" ht="12.75">
      <c r="B4" s="12"/>
      <c r="C4" s="13"/>
      <c r="D4" s="6" t="s">
        <v>0</v>
      </c>
      <c r="E4" s="6"/>
      <c r="F4" s="6"/>
      <c r="G4" s="6"/>
      <c r="H4" s="6"/>
      <c r="I4" s="13"/>
      <c r="J4" s="14"/>
      <c r="M4" s="572"/>
    </row>
    <row r="5" spans="2:10" ht="15">
      <c r="B5" s="12"/>
      <c r="C5" s="13"/>
      <c r="D5" s="481" t="s">
        <v>33</v>
      </c>
      <c r="E5" s="6"/>
      <c r="F5" s="6"/>
      <c r="G5" s="6"/>
      <c r="H5" s="6"/>
      <c r="I5" s="13"/>
      <c r="J5" s="14"/>
    </row>
    <row r="6" spans="2:10" ht="18.75">
      <c r="B6" s="12"/>
      <c r="C6" s="13"/>
      <c r="D6" s="482" t="s">
        <v>75</v>
      </c>
      <c r="E6" s="7"/>
      <c r="F6" s="6"/>
      <c r="G6" s="6"/>
      <c r="H6" s="6"/>
      <c r="I6" s="13"/>
      <c r="J6" s="14"/>
    </row>
    <row r="7" spans="2:13" ht="70.5" customHeight="1">
      <c r="B7" s="12"/>
      <c r="C7" s="13"/>
      <c r="D7" s="13"/>
      <c r="E7" s="13"/>
      <c r="F7" s="13"/>
      <c r="G7" s="13"/>
      <c r="H7" s="13"/>
      <c r="I7" s="13"/>
      <c r="J7" s="14"/>
      <c r="L7" s="572"/>
      <c r="M7" s="572"/>
    </row>
    <row r="8" spans="2:10" ht="35.25" customHeight="1">
      <c r="B8" s="12"/>
      <c r="C8" s="968" t="s">
        <v>124</v>
      </c>
      <c r="D8" s="970"/>
      <c r="E8" s="889" t="str">
        <f>'Post Eval Input'!D8</f>
        <v>Test Intersection  -  Regional Project for the 
Betterment of All Mankind</v>
      </c>
      <c r="F8" s="890"/>
      <c r="G8" s="890"/>
      <c r="H8" s="890"/>
      <c r="I8" s="891"/>
      <c r="J8" s="14"/>
    </row>
    <row r="9" spans="2:10" ht="15">
      <c r="B9" s="12"/>
      <c r="C9" s="968" t="s">
        <v>119</v>
      </c>
      <c r="D9" s="970"/>
      <c r="E9" s="971" t="str">
        <f>'Post Eval Input'!E11</f>
        <v>Test Construction Project </v>
      </c>
      <c r="F9" s="972"/>
      <c r="G9" s="972"/>
      <c r="H9" s="972"/>
      <c r="I9" s="973"/>
      <c r="J9" s="14"/>
    </row>
    <row r="10" spans="2:10" ht="15">
      <c r="B10" s="12"/>
      <c r="C10" s="968" t="s">
        <v>125</v>
      </c>
      <c r="D10" s="970"/>
      <c r="E10" s="971" t="str">
        <f>'Post Eval Input'!E15</f>
        <v>TEST-PROJ-1</v>
      </c>
      <c r="F10" s="972"/>
      <c r="G10" s="972"/>
      <c r="H10" s="972"/>
      <c r="I10" s="973"/>
      <c r="J10" s="14"/>
    </row>
    <row r="11" spans="2:10" ht="15">
      <c r="B11" s="12"/>
      <c r="C11" s="968" t="s">
        <v>126</v>
      </c>
      <c r="D11" s="970"/>
      <c r="E11" s="971">
        <f>'Post Eval Input'!E16</f>
        <v>12345</v>
      </c>
      <c r="F11" s="972"/>
      <c r="G11" s="972"/>
      <c r="H11" s="972"/>
      <c r="I11" s="973"/>
      <c r="J11" s="14"/>
    </row>
    <row r="12" spans="2:10" ht="15">
      <c r="B12" s="12"/>
      <c r="C12" s="968" t="s">
        <v>109</v>
      </c>
      <c r="D12" s="969"/>
      <c r="E12" s="976" t="str">
        <f>'Post Eval Input'!T8</f>
        <v>Joe Traffic</v>
      </c>
      <c r="F12" s="977"/>
      <c r="G12" s="977"/>
      <c r="H12" s="977"/>
      <c r="I12" s="978"/>
      <c r="J12" s="14"/>
    </row>
    <row r="13" spans="2:10" ht="15">
      <c r="B13" s="12"/>
      <c r="C13" s="968" t="s">
        <v>128</v>
      </c>
      <c r="D13" s="969"/>
      <c r="E13" s="979">
        <f>'Post Eval Input'!AB8</f>
        <v>43295</v>
      </c>
      <c r="F13" s="977"/>
      <c r="G13" s="977"/>
      <c r="H13" s="977"/>
      <c r="I13" s="978"/>
      <c r="J13" s="14"/>
    </row>
    <row r="14" spans="2:10" ht="24.75" customHeight="1">
      <c r="B14" s="12"/>
      <c r="C14" s="13"/>
      <c r="D14" s="13"/>
      <c r="E14" s="13"/>
      <c r="F14" s="13"/>
      <c r="G14" s="13"/>
      <c r="H14" s="13"/>
      <c r="I14" s="13"/>
      <c r="J14" s="14"/>
    </row>
    <row r="15" spans="2:10" ht="18.75">
      <c r="B15" s="12"/>
      <c r="C15" s="494" t="s">
        <v>131</v>
      </c>
      <c r="D15" s="495"/>
      <c r="E15" s="496"/>
      <c r="F15" s="496"/>
      <c r="G15" s="496"/>
      <c r="H15" s="496"/>
      <c r="I15" s="497"/>
      <c r="J15" s="14"/>
    </row>
    <row r="16" spans="2:10" ht="12.75">
      <c r="B16" s="12"/>
      <c r="C16" s="490" t="s">
        <v>135</v>
      </c>
      <c r="D16" s="123"/>
      <c r="E16" s="123"/>
      <c r="F16" s="123"/>
      <c r="G16" s="123"/>
      <c r="H16" s="123"/>
      <c r="I16" s="491">
        <f>'Predicted B-C'!G11</f>
        <v>0.03</v>
      </c>
      <c r="J16" s="14"/>
    </row>
    <row r="17" spans="2:10" ht="12.75">
      <c r="B17" s="12"/>
      <c r="C17" s="492" t="s">
        <v>134</v>
      </c>
      <c r="D17" s="137"/>
      <c r="E17" s="137"/>
      <c r="F17" s="137"/>
      <c r="G17" s="137"/>
      <c r="H17" s="137"/>
      <c r="I17" s="493">
        <f>'Predicted B-C'!G48</f>
        <v>10.595238095238095</v>
      </c>
      <c r="J17" s="14"/>
    </row>
    <row r="18" spans="2:10" ht="12.75">
      <c r="B18" s="12"/>
      <c r="C18" s="492" t="s">
        <v>193</v>
      </c>
      <c r="D18" s="137"/>
      <c r="E18" s="137"/>
      <c r="F18" s="137"/>
      <c r="G18" s="137"/>
      <c r="H18" s="137"/>
      <c r="I18" s="493">
        <f>'Post Eval Input'!G24</f>
        <v>3</v>
      </c>
      <c r="J18" s="14"/>
    </row>
    <row r="19" spans="2:10" ht="24.75" customHeight="1">
      <c r="B19" s="12"/>
      <c r="C19" s="13"/>
      <c r="D19" s="13"/>
      <c r="E19" s="13"/>
      <c r="F19" s="13"/>
      <c r="G19" s="13"/>
      <c r="H19" s="13"/>
      <c r="I19" s="13"/>
      <c r="J19" s="14"/>
    </row>
    <row r="20" spans="2:10" ht="18.75">
      <c r="B20" s="12"/>
      <c r="C20" s="513" t="s">
        <v>66</v>
      </c>
      <c r="D20" s="514"/>
      <c r="E20" s="515"/>
      <c r="F20" s="515"/>
      <c r="G20" s="515"/>
      <c r="H20" s="515"/>
      <c r="I20" s="178"/>
      <c r="J20" s="14"/>
    </row>
    <row r="21" spans="2:10" ht="12.75">
      <c r="B21" s="12"/>
      <c r="C21" s="492" t="s">
        <v>74</v>
      </c>
      <c r="D21" s="137"/>
      <c r="E21" s="498"/>
      <c r="F21" s="498"/>
      <c r="G21" s="498"/>
      <c r="H21" s="499"/>
      <c r="I21" s="500">
        <v>2500000</v>
      </c>
      <c r="J21" s="14"/>
    </row>
    <row r="22" spans="2:12" ht="12.75">
      <c r="B22" s="12"/>
      <c r="C22" s="501" t="s">
        <v>70</v>
      </c>
      <c r="D22" s="148"/>
      <c r="E22" s="502"/>
      <c r="F22" s="502"/>
      <c r="G22" s="502"/>
      <c r="H22" s="502"/>
      <c r="I22" s="503">
        <f>'Predicted B-C'!F48*1000</f>
        <v>11500</v>
      </c>
      <c r="J22" s="14"/>
      <c r="L22" s="573"/>
    </row>
    <row r="23" spans="2:10" ht="12.75">
      <c r="B23" s="12"/>
      <c r="C23" s="504" t="s">
        <v>71</v>
      </c>
      <c r="D23" s="136"/>
      <c r="E23" s="505"/>
      <c r="F23" s="505"/>
      <c r="G23" s="505"/>
      <c r="H23" s="505"/>
      <c r="I23" s="506">
        <f>IF((I21+I22)&lt;&gt;0,(-PMT(I16,I17,I21,0)+(IF($I22&gt;0,1,0)*I22)),0)</f>
        <v>290431.14449114207</v>
      </c>
      <c r="J23" s="14"/>
    </row>
    <row r="24" spans="2:10" ht="12.75">
      <c r="B24" s="12"/>
      <c r="C24" s="504" t="s">
        <v>269</v>
      </c>
      <c r="D24" s="136"/>
      <c r="E24" s="505"/>
      <c r="F24" s="505"/>
      <c r="G24" s="505"/>
      <c r="H24" s="505"/>
      <c r="I24" s="507">
        <f>'Post Eval Input'!L46*('Post Eval Input'!G24/'Post Eval Input'!G23)</f>
        <v>8053371.428571428</v>
      </c>
      <c r="J24" s="14"/>
    </row>
    <row r="25" spans="2:10" ht="12.75">
      <c r="B25" s="12"/>
      <c r="C25" s="492" t="s">
        <v>270</v>
      </c>
      <c r="D25" s="137"/>
      <c r="E25" s="498"/>
      <c r="F25" s="498"/>
      <c r="G25" s="498"/>
      <c r="H25" s="498"/>
      <c r="I25" s="508">
        <f>'Post Eval Input'!X46</f>
        <v>4440400</v>
      </c>
      <c r="J25" s="14"/>
    </row>
    <row r="26" spans="2:10" ht="12.75">
      <c r="B26" s="12"/>
      <c r="C26" s="509" t="s">
        <v>271</v>
      </c>
      <c r="D26" s="138"/>
      <c r="E26" s="510"/>
      <c r="F26" s="510"/>
      <c r="G26" s="510"/>
      <c r="H26" s="510"/>
      <c r="I26" s="511">
        <f>I24-I25</f>
        <v>3612971.428571428</v>
      </c>
      <c r="J26" s="14"/>
    </row>
    <row r="27" spans="2:10" ht="12.75">
      <c r="B27" s="12"/>
      <c r="C27" s="509" t="s">
        <v>272</v>
      </c>
      <c r="D27" s="138"/>
      <c r="E27" s="510"/>
      <c r="F27" s="510"/>
      <c r="G27" s="510"/>
      <c r="H27" s="510"/>
      <c r="I27" s="511">
        <f>I26/(1-'Post Eval Input'!AA20)</f>
        <v>3612971.428571428</v>
      </c>
      <c r="J27" s="14"/>
    </row>
    <row r="28" spans="2:10" ht="12.75">
      <c r="B28" s="12"/>
      <c r="C28" s="492" t="s">
        <v>72</v>
      </c>
      <c r="D28" s="137"/>
      <c r="E28" s="498"/>
      <c r="F28" s="498"/>
      <c r="G28" s="498"/>
      <c r="H28" s="498"/>
      <c r="I28" s="506">
        <f>IF(I27&lt;&gt;0,(I27/I18)+(IF($I22&lt;0,1,0)*$I22),0)</f>
        <v>1204323.8095238095</v>
      </c>
      <c r="J28" s="14"/>
    </row>
    <row r="29" spans="2:10" s="574" customFormat="1" ht="18" customHeight="1">
      <c r="B29" s="483"/>
      <c r="C29" s="509" t="s">
        <v>273</v>
      </c>
      <c r="D29" s="138"/>
      <c r="E29" s="138"/>
      <c r="F29" s="138"/>
      <c r="G29" s="138"/>
      <c r="H29" s="138"/>
      <c r="I29" s="512" t="str">
        <f>IF((I21+I22)&lt;&gt;0,IF(I23&lt;&gt;0,ROUND(I28/(I23),2)&amp;" : 1",0),0)</f>
        <v>4.15 : 1</v>
      </c>
      <c r="J29" s="484"/>
    </row>
    <row r="30" spans="2:10" ht="24.75" customHeight="1">
      <c r="B30" s="12"/>
      <c r="C30" s="13"/>
      <c r="D30" s="13"/>
      <c r="E30" s="13"/>
      <c r="F30" s="13"/>
      <c r="G30" s="13"/>
      <c r="H30" s="13"/>
      <c r="I30" s="13"/>
      <c r="J30" s="14"/>
    </row>
    <row r="31" spans="2:10" ht="18.75">
      <c r="B31" s="12"/>
      <c r="C31" s="494" t="s">
        <v>129</v>
      </c>
      <c r="D31" s="516"/>
      <c r="E31" s="516"/>
      <c r="F31" s="516"/>
      <c r="G31" s="516"/>
      <c r="H31" s="516"/>
      <c r="I31" s="517"/>
      <c r="J31" s="14"/>
    </row>
    <row r="32" spans="2:10" ht="3" customHeight="1">
      <c r="B32" s="12"/>
      <c r="C32" s="156"/>
      <c r="D32" s="118"/>
      <c r="E32" s="118"/>
      <c r="F32" s="118"/>
      <c r="G32" s="118"/>
      <c r="H32" s="118"/>
      <c r="I32" s="157"/>
      <c r="J32" s="14"/>
    </row>
    <row r="33" spans="2:10" ht="12.75">
      <c r="B33" s="12"/>
      <c r="C33" s="964" t="s">
        <v>74</v>
      </c>
      <c r="D33" s="965"/>
      <c r="E33" s="492" t="s">
        <v>113</v>
      </c>
      <c r="F33" s="506">
        <f>'Predicted B-C'!E48*1000</f>
        <v>2100000</v>
      </c>
      <c r="G33" s="118"/>
      <c r="H33" s="492" t="s">
        <v>114</v>
      </c>
      <c r="I33" s="974" t="str">
        <f>IF(F34&gt;F33,"+"&amp;ROUND((F34-F33)/F33,2)*100&amp;"%",(F34-F33)/F33)</f>
        <v>+19%</v>
      </c>
      <c r="J33" s="14"/>
    </row>
    <row r="34" spans="2:10" ht="12.75">
      <c r="B34" s="12"/>
      <c r="C34" s="966"/>
      <c r="D34" s="967"/>
      <c r="E34" s="509" t="s">
        <v>117</v>
      </c>
      <c r="F34" s="518">
        <f>I21</f>
        <v>2500000</v>
      </c>
      <c r="G34" s="118"/>
      <c r="H34" s="118"/>
      <c r="I34" s="975"/>
      <c r="J34" s="14"/>
    </row>
    <row r="35" spans="2:10" ht="3" customHeight="1">
      <c r="B35" s="12"/>
      <c r="C35" s="156"/>
      <c r="D35" s="118"/>
      <c r="E35" s="118"/>
      <c r="F35" s="519"/>
      <c r="G35" s="118"/>
      <c r="H35" s="118"/>
      <c r="I35" s="157"/>
      <c r="J35" s="14"/>
    </row>
    <row r="36" spans="2:10" ht="12.75">
      <c r="B36" s="12"/>
      <c r="C36" s="964" t="s">
        <v>115</v>
      </c>
      <c r="D36" s="965"/>
      <c r="E36" s="492" t="s">
        <v>113</v>
      </c>
      <c r="F36" s="506">
        <f>'Predicted B-C'!O48</f>
        <v>1060140</v>
      </c>
      <c r="G36" s="118"/>
      <c r="H36" s="492" t="s">
        <v>114</v>
      </c>
      <c r="I36" s="974" t="str">
        <f>IF(F37&gt;F36,"+"&amp;ROUND((F37-F36)/F36,2)*100&amp;"%",(F37-F36)/F36)</f>
        <v>+14%</v>
      </c>
      <c r="J36" s="14"/>
    </row>
    <row r="37" spans="2:10" ht="12.75">
      <c r="B37" s="12"/>
      <c r="C37" s="966"/>
      <c r="D37" s="967"/>
      <c r="E37" s="509" t="s">
        <v>117</v>
      </c>
      <c r="F37" s="518">
        <f>I28</f>
        <v>1204323.8095238095</v>
      </c>
      <c r="G37" s="118"/>
      <c r="H37" s="118"/>
      <c r="I37" s="975"/>
      <c r="J37" s="14"/>
    </row>
    <row r="38" spans="2:10" ht="3" customHeight="1">
      <c r="B38" s="12"/>
      <c r="C38" s="156"/>
      <c r="D38" s="118"/>
      <c r="E38" s="118"/>
      <c r="F38" s="520"/>
      <c r="G38" s="118"/>
      <c r="H38" s="118"/>
      <c r="I38" s="157"/>
      <c r="J38" s="14"/>
    </row>
    <row r="39" spans="2:10" ht="12.75" customHeight="1">
      <c r="B39" s="12"/>
      <c r="C39" s="964" t="s">
        <v>116</v>
      </c>
      <c r="D39" s="965"/>
      <c r="E39" s="492" t="s">
        <v>113</v>
      </c>
      <c r="F39" s="521" t="str">
        <f>'Predicted B-C'!T48</f>
        <v>4.25 : 1</v>
      </c>
      <c r="G39" s="118"/>
      <c r="H39" s="492" t="s">
        <v>114</v>
      </c>
      <c r="I39" s="974">
        <f>IF(F44&gt;F43,"+"&amp;ROUND((F44-F43)/F43,2)*100&amp;"%",(F44-F43)/F43)</f>
        <v>-0.046511627906976785</v>
      </c>
      <c r="J39" s="14"/>
    </row>
    <row r="40" spans="2:10" ht="12.75" customHeight="1">
      <c r="B40" s="12"/>
      <c r="C40" s="966"/>
      <c r="D40" s="967"/>
      <c r="E40" s="509" t="s">
        <v>117</v>
      </c>
      <c r="F40" s="518" t="str">
        <f>I29</f>
        <v>4.15 : 1</v>
      </c>
      <c r="G40" s="522"/>
      <c r="H40" s="522"/>
      <c r="I40" s="975"/>
      <c r="J40" s="14"/>
    </row>
    <row r="41" spans="2:10" ht="24.75" customHeight="1">
      <c r="B41" s="486"/>
      <c r="C41" s="485"/>
      <c r="D41" s="485"/>
      <c r="E41" s="485"/>
      <c r="F41" s="485"/>
      <c r="G41" s="485"/>
      <c r="H41" s="485"/>
      <c r="I41" s="485"/>
      <c r="J41" s="487"/>
    </row>
    <row r="42" spans="2:10" ht="12.75">
      <c r="B42" s="9"/>
      <c r="C42" s="9"/>
      <c r="D42" s="9"/>
      <c r="E42" s="9"/>
      <c r="F42" s="9"/>
      <c r="G42" s="9"/>
      <c r="H42" s="9"/>
      <c r="I42" s="9"/>
      <c r="J42" s="9"/>
    </row>
    <row r="43" spans="2:10" ht="15">
      <c r="B43" s="9"/>
      <c r="C43" s="9"/>
      <c r="D43" s="9"/>
      <c r="E43" s="9"/>
      <c r="F43" s="488">
        <f>'Predicted B-C'!Z48</f>
        <v>4.3</v>
      </c>
      <c r="G43" s="9"/>
      <c r="H43" s="9"/>
      <c r="I43" s="9"/>
      <c r="J43" s="9"/>
    </row>
    <row r="44" spans="2:10" ht="15">
      <c r="B44" s="9"/>
      <c r="C44" s="9"/>
      <c r="D44" s="9"/>
      <c r="E44" s="9"/>
      <c r="F44" s="489">
        <f>IF(I23&lt;&gt;0,ROUND(I28/(I23),1))</f>
        <v>4.1</v>
      </c>
      <c r="G44" s="9"/>
      <c r="H44" s="9"/>
      <c r="I44" s="9"/>
      <c r="J44" s="9"/>
    </row>
  </sheetData>
  <sheetProtection password="CD64" sheet="1"/>
  <mergeCells count="18">
    <mergeCell ref="E9:I9"/>
    <mergeCell ref="E10:I10"/>
    <mergeCell ref="E11:I11"/>
    <mergeCell ref="I33:I34"/>
    <mergeCell ref="I36:I37"/>
    <mergeCell ref="I39:I40"/>
    <mergeCell ref="E12:I12"/>
    <mergeCell ref="E13:I13"/>
    <mergeCell ref="C33:D34"/>
    <mergeCell ref="C36:D37"/>
    <mergeCell ref="C39:D40"/>
    <mergeCell ref="C13:D13"/>
    <mergeCell ref="E8:I8"/>
    <mergeCell ref="C12:D12"/>
    <mergeCell ref="C8:D8"/>
    <mergeCell ref="C9:D9"/>
    <mergeCell ref="C10:D10"/>
    <mergeCell ref="C11:D11"/>
  </mergeCells>
  <printOptions horizontalCentered="1"/>
  <pageMargins left="0.41" right="0.3" top="0.66" bottom="0.17" header="0.28" footer="0.32"/>
  <pageSetup fitToHeight="1" fitToWidth="1" horizontalDpi="600" verticalDpi="600" orientation="portrait" r:id="rId2"/>
  <headerFooter alignWithMargins="0">
    <oddFooter>&amp;LAlaska HSIP Handbook&amp;CA-6&amp;REffective April 18, 2022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1:BI43"/>
  <sheetViews>
    <sheetView showGridLines="0" showZeros="0" zoomScale="80" zoomScaleNormal="80" zoomScaleSheetLayoutView="66" zoomScalePageLayoutView="0" workbookViewId="0" topLeftCell="L1">
      <selection activeCell="AV18" sqref="AV18"/>
    </sheetView>
  </sheetViews>
  <sheetFormatPr defaultColWidth="9.00390625" defaultRowHeight="12.75"/>
  <cols>
    <col min="1" max="1" width="2.125" style="575" customWidth="1"/>
    <col min="2" max="2" width="1.875" style="575" customWidth="1"/>
    <col min="3" max="3" width="16.875" style="576" customWidth="1"/>
    <col min="4" max="4" width="4.875" style="576" customWidth="1"/>
    <col min="5" max="5" width="7.375" style="576" customWidth="1"/>
    <col min="6" max="6" width="9.125" style="576" customWidth="1"/>
    <col min="7" max="9" width="9.375" style="576" customWidth="1"/>
    <col min="10" max="10" width="36.875" style="576" customWidth="1"/>
    <col min="11" max="11" width="11.00390625" style="576" customWidth="1"/>
    <col min="12" max="12" width="5.00390625" style="576" customWidth="1"/>
    <col min="13" max="13" width="61.00390625" style="576" bestFit="1" customWidth="1"/>
    <col min="14" max="15" width="4.625" style="576" customWidth="1"/>
    <col min="16" max="16" width="4.25390625" style="576" customWidth="1"/>
    <col min="17" max="17" width="4.375" style="576" customWidth="1"/>
    <col min="18" max="18" width="4.25390625" style="576" customWidth="1"/>
    <col min="19" max="19" width="10.125" style="576" bestFit="1" customWidth="1"/>
    <col min="20" max="20" width="8.25390625" style="576" customWidth="1"/>
    <col min="21" max="21" width="8.75390625" style="576" bestFit="1" customWidth="1"/>
    <col min="22" max="22" width="4.75390625" style="576" customWidth="1"/>
    <col min="23" max="27" width="3.875" style="576" customWidth="1"/>
    <col min="28" max="28" width="10.125" style="576" bestFit="1" customWidth="1"/>
    <col min="29" max="29" width="6.25390625" style="576" customWidth="1"/>
    <col min="30" max="30" width="8.75390625" style="576" bestFit="1" customWidth="1"/>
    <col min="31" max="36" width="3.875" style="576" customWidth="1"/>
    <col min="37" max="37" width="10.125" style="576" bestFit="1" customWidth="1"/>
    <col min="38" max="38" width="8.00390625" style="576" customWidth="1"/>
    <col min="39" max="39" width="8.75390625" style="576" bestFit="1" customWidth="1"/>
    <col min="40" max="40" width="3.875" style="576" customWidth="1"/>
    <col min="41" max="41" width="12.00390625" style="576" customWidth="1"/>
    <col min="42" max="44" width="10.875" style="576" customWidth="1"/>
    <col min="45" max="45" width="12.375" style="576" customWidth="1"/>
    <col min="46" max="46" width="10.875" style="576" customWidth="1"/>
    <col min="47" max="48" width="12.375" style="576" customWidth="1"/>
    <col min="49" max="50" width="3.625" style="576" customWidth="1"/>
    <col min="51" max="59" width="9.125" style="575" customWidth="1"/>
    <col min="60" max="60" width="10.875" style="575" customWidth="1"/>
    <col min="61" max="16384" width="9.125" style="575" customWidth="1"/>
  </cols>
  <sheetData>
    <row r="1" ht="12" customHeight="1" thickBot="1">
      <c r="M1" s="577" t="s">
        <v>165</v>
      </c>
    </row>
    <row r="2" spans="3:15" ht="18.75" customHeight="1" thickBot="1">
      <c r="C2" s="996" t="s">
        <v>137</v>
      </c>
      <c r="D2" s="997"/>
      <c r="E2" s="997"/>
      <c r="F2" s="998"/>
      <c r="G2" s="578" t="s">
        <v>178</v>
      </c>
      <c r="H2" s="579"/>
      <c r="I2" s="579"/>
      <c r="M2" s="580" t="s">
        <v>164</v>
      </c>
      <c r="N2" s="581" t="s">
        <v>170</v>
      </c>
      <c r="O2" s="582"/>
    </row>
    <row r="3" spans="3:15" ht="13.5" thickBot="1">
      <c r="C3" s="999" t="s">
        <v>169</v>
      </c>
      <c r="D3" s="1000"/>
      <c r="E3" s="1001">
        <v>0.03</v>
      </c>
      <c r="F3" s="1002"/>
      <c r="H3" s="4"/>
      <c r="I3" s="4"/>
      <c r="M3" s="582"/>
      <c r="N3" s="583" t="s">
        <v>171</v>
      </c>
      <c r="O3" s="582"/>
    </row>
    <row r="4" spans="3:16" ht="13.5" thickBot="1">
      <c r="C4" s="1006" t="s">
        <v>163</v>
      </c>
      <c r="D4" s="1007"/>
      <c r="E4" s="1008" t="s">
        <v>171</v>
      </c>
      <c r="F4" s="1009"/>
      <c r="G4" s="578" t="s">
        <v>177</v>
      </c>
      <c r="H4" s="582"/>
      <c r="I4" s="582"/>
      <c r="M4" s="585" t="s">
        <v>179</v>
      </c>
      <c r="N4" s="586">
        <v>0</v>
      </c>
      <c r="O4" s="592"/>
      <c r="P4" s="578" t="s">
        <v>180</v>
      </c>
    </row>
    <row r="5" spans="3:15" ht="13.5" thickBot="1">
      <c r="C5" s="1012" t="s">
        <v>179</v>
      </c>
      <c r="D5" s="1013"/>
      <c r="E5" s="1010">
        <v>0</v>
      </c>
      <c r="F5" s="1011"/>
      <c r="G5" s="587" t="s">
        <v>183</v>
      </c>
      <c r="H5" s="588"/>
      <c r="I5" s="588"/>
      <c r="N5" s="589">
        <v>0.005</v>
      </c>
      <c r="O5" s="592"/>
    </row>
    <row r="6" spans="3:15" ht="13.5" thickBot="1">
      <c r="C6" s="1003" t="s">
        <v>138</v>
      </c>
      <c r="D6" s="1004"/>
      <c r="E6" s="1004"/>
      <c r="F6" s="1005"/>
      <c r="G6" s="1"/>
      <c r="H6" s="1"/>
      <c r="I6" s="1"/>
      <c r="N6" s="589">
        <v>0.01</v>
      </c>
      <c r="O6" s="592"/>
    </row>
    <row r="7" spans="3:15" ht="12.75">
      <c r="C7" s="984" t="s">
        <v>139</v>
      </c>
      <c r="D7" s="985"/>
      <c r="E7" s="990">
        <f>'Predicted B-C'!T12</f>
        <v>26400</v>
      </c>
      <c r="F7" s="991"/>
      <c r="G7" s="3"/>
      <c r="H7" s="3"/>
      <c r="I7" s="3"/>
      <c r="J7" s="590"/>
      <c r="M7" s="582"/>
      <c r="N7" s="589">
        <v>0.015</v>
      </c>
      <c r="O7" s="592"/>
    </row>
    <row r="8" spans="3:15" ht="12.75">
      <c r="C8" s="986" t="s">
        <v>290</v>
      </c>
      <c r="D8" s="987"/>
      <c r="E8" s="982">
        <f>'Predicted B-C'!T13</f>
        <v>158700</v>
      </c>
      <c r="F8" s="983"/>
      <c r="G8" s="3"/>
      <c r="H8" s="3"/>
      <c r="I8" s="3"/>
      <c r="M8" s="582"/>
      <c r="N8" s="589">
        <v>0.02</v>
      </c>
      <c r="O8" s="592"/>
    </row>
    <row r="9" spans="3:15" ht="13.5" customHeight="1">
      <c r="C9" s="988" t="s">
        <v>140</v>
      </c>
      <c r="D9" s="989"/>
      <c r="E9" s="992">
        <f>'Predicted B-C'!T14</f>
        <v>502000</v>
      </c>
      <c r="F9" s="993"/>
      <c r="G9" s="3"/>
      <c r="H9" s="3"/>
      <c r="I9" s="3"/>
      <c r="M9" s="582"/>
      <c r="N9" s="589">
        <v>0.025</v>
      </c>
      <c r="O9" s="592"/>
    </row>
    <row r="10" spans="3:19" ht="13.5" thickBot="1">
      <c r="C10" s="988" t="s">
        <v>274</v>
      </c>
      <c r="D10" s="989"/>
      <c r="E10" s="992">
        <f>'Predicted B-C'!T15</f>
        <v>1322000</v>
      </c>
      <c r="F10" s="993"/>
      <c r="G10" s="3"/>
      <c r="H10" s="3"/>
      <c r="I10" s="3"/>
      <c r="M10" s="582"/>
      <c r="N10" s="591">
        <v>0.03</v>
      </c>
      <c r="O10" s="592"/>
      <c r="S10" s="576" t="s">
        <v>3</v>
      </c>
    </row>
    <row r="11" spans="3:15" ht="13.5" thickBot="1">
      <c r="C11" s="980" t="s">
        <v>141</v>
      </c>
      <c r="D11" s="981"/>
      <c r="E11" s="994">
        <f>'Predicted B-C'!T16</f>
        <v>2645000</v>
      </c>
      <c r="F11" s="995"/>
      <c r="G11" s="3"/>
      <c r="H11" s="3"/>
      <c r="I11" s="3"/>
      <c r="M11" s="582"/>
      <c r="N11" s="592"/>
      <c r="O11" s="592"/>
    </row>
    <row r="12" spans="3:15" ht="12.75">
      <c r="C12" s="2"/>
      <c r="D12" s="2"/>
      <c r="E12" s="3"/>
      <c r="F12" s="3"/>
      <c r="G12" s="3"/>
      <c r="H12" s="8" t="s">
        <v>192</v>
      </c>
      <c r="I12" s="3"/>
      <c r="M12" s="582"/>
      <c r="N12" s="592"/>
      <c r="O12" s="592"/>
    </row>
    <row r="13" spans="3:50" ht="13.5" customHeight="1" thickBot="1">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row>
    <row r="14" spans="2:50" ht="65.25" customHeight="1" thickBot="1">
      <c r="B14" s="594"/>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6"/>
      <c r="AX14" s="593"/>
    </row>
    <row r="15" spans="2:61" ht="20.25" customHeight="1" thickBot="1">
      <c r="B15" s="597"/>
      <c r="C15" s="1020" t="s">
        <v>142</v>
      </c>
      <c r="D15" s="1021"/>
      <c r="E15" s="1021"/>
      <c r="F15" s="1021"/>
      <c r="G15" s="1021"/>
      <c r="H15" s="1021"/>
      <c r="I15" s="1021"/>
      <c r="J15" s="1021"/>
      <c r="K15" s="1021"/>
      <c r="L15" s="1021"/>
      <c r="M15" s="1022"/>
      <c r="N15" s="1020" t="s">
        <v>279</v>
      </c>
      <c r="O15" s="1021"/>
      <c r="P15" s="1021"/>
      <c r="Q15" s="1021"/>
      <c r="R15" s="1021"/>
      <c r="S15" s="1021"/>
      <c r="T15" s="1021"/>
      <c r="U15" s="1021"/>
      <c r="V15" s="1021"/>
      <c r="W15" s="1021"/>
      <c r="X15" s="1021"/>
      <c r="Y15" s="1021"/>
      <c r="Z15" s="1021"/>
      <c r="AA15" s="1021"/>
      <c r="AB15" s="1021"/>
      <c r="AC15" s="1021"/>
      <c r="AD15" s="1021"/>
      <c r="AE15" s="1021"/>
      <c r="AF15" s="1021"/>
      <c r="AG15" s="1021"/>
      <c r="AH15" s="1021"/>
      <c r="AI15" s="1021"/>
      <c r="AJ15" s="1021"/>
      <c r="AK15" s="1021"/>
      <c r="AL15" s="1021"/>
      <c r="AM15" s="1021"/>
      <c r="AN15" s="1021"/>
      <c r="AO15" s="598" t="s">
        <v>79</v>
      </c>
      <c r="AP15" s="1030" t="s">
        <v>161</v>
      </c>
      <c r="AQ15" s="1030"/>
      <c r="AR15" s="1032" t="s">
        <v>34</v>
      </c>
      <c r="AS15" s="1033"/>
      <c r="AT15" s="1034" t="s">
        <v>172</v>
      </c>
      <c r="AU15" s="1035"/>
      <c r="AV15" s="1033"/>
      <c r="AW15" s="599"/>
      <c r="AX15" s="593"/>
      <c r="AZ15" s="600"/>
      <c r="BA15" s="600"/>
      <c r="BB15" s="600"/>
      <c r="BC15" s="600"/>
      <c r="BD15" s="600"/>
      <c r="BE15" s="600"/>
      <c r="BF15" s="600"/>
      <c r="BG15" s="600"/>
      <c r="BH15" s="600"/>
      <c r="BI15" s="600"/>
    </row>
    <row r="16" spans="2:61" ht="15.75" customHeight="1" thickBot="1">
      <c r="B16" s="597"/>
      <c r="C16" s="1023" t="s">
        <v>143</v>
      </c>
      <c r="D16" s="1025" t="s">
        <v>144</v>
      </c>
      <c r="E16" s="1025" t="s">
        <v>282</v>
      </c>
      <c r="F16" s="1027" t="s">
        <v>145</v>
      </c>
      <c r="G16" s="1018" t="s">
        <v>181</v>
      </c>
      <c r="H16" s="1018" t="s">
        <v>182</v>
      </c>
      <c r="I16" s="1018" t="s">
        <v>185</v>
      </c>
      <c r="J16" s="1014" t="s">
        <v>13</v>
      </c>
      <c r="K16" s="1016" t="s">
        <v>160</v>
      </c>
      <c r="L16" s="1016" t="s">
        <v>146</v>
      </c>
      <c r="M16" s="1036" t="s">
        <v>275</v>
      </c>
      <c r="N16" s="1038" t="s">
        <v>147</v>
      </c>
      <c r="O16" s="1039"/>
      <c r="P16" s="1039"/>
      <c r="Q16" s="1039"/>
      <c r="R16" s="1039"/>
      <c r="S16" s="1039"/>
      <c r="T16" s="1039"/>
      <c r="U16" s="1039"/>
      <c r="V16" s="1040"/>
      <c r="W16" s="1038" t="s">
        <v>148</v>
      </c>
      <c r="X16" s="1039"/>
      <c r="Y16" s="1039"/>
      <c r="Z16" s="1039"/>
      <c r="AA16" s="1039"/>
      <c r="AB16" s="1039"/>
      <c r="AC16" s="1039"/>
      <c r="AD16" s="1039"/>
      <c r="AE16" s="1040"/>
      <c r="AF16" s="1038" t="s">
        <v>149</v>
      </c>
      <c r="AG16" s="1039"/>
      <c r="AH16" s="1039"/>
      <c r="AI16" s="1039"/>
      <c r="AJ16" s="1039"/>
      <c r="AK16" s="1039"/>
      <c r="AL16" s="1039"/>
      <c r="AM16" s="1039"/>
      <c r="AN16" s="1039"/>
      <c r="AO16" s="602"/>
      <c r="AP16" s="1031"/>
      <c r="AQ16" s="1031"/>
      <c r="AR16" s="601" t="s">
        <v>281</v>
      </c>
      <c r="AS16" s="603" t="s">
        <v>150</v>
      </c>
      <c r="AT16" s="604" t="s">
        <v>281</v>
      </c>
      <c r="AU16" s="605" t="s">
        <v>281</v>
      </c>
      <c r="AV16" s="605" t="s">
        <v>150</v>
      </c>
      <c r="AW16" s="599"/>
      <c r="AX16" s="593"/>
      <c r="AZ16" s="606"/>
      <c r="BA16" s="606"/>
      <c r="BB16" s="606"/>
      <c r="BC16" s="607"/>
      <c r="BD16" s="607"/>
      <c r="BE16" s="608"/>
      <c r="BF16" s="609"/>
      <c r="BG16" s="606"/>
      <c r="BH16" s="606"/>
      <c r="BI16" s="610"/>
    </row>
    <row r="17" spans="2:61" s="624" customFormat="1" ht="83.25" customHeight="1" thickBot="1">
      <c r="B17" s="611"/>
      <c r="C17" s="1024"/>
      <c r="D17" s="1026"/>
      <c r="E17" s="1026"/>
      <c r="F17" s="1028"/>
      <c r="G17" s="1019"/>
      <c r="H17" s="1019"/>
      <c r="I17" s="1029"/>
      <c r="J17" s="1015"/>
      <c r="K17" s="1017"/>
      <c r="L17" s="1017"/>
      <c r="M17" s="1037"/>
      <c r="N17" s="612" t="s">
        <v>9</v>
      </c>
      <c r="O17" s="775" t="s">
        <v>290</v>
      </c>
      <c r="P17" s="613" t="s">
        <v>151</v>
      </c>
      <c r="Q17" s="613" t="s">
        <v>278</v>
      </c>
      <c r="R17" s="613" t="s">
        <v>152</v>
      </c>
      <c r="S17" s="613" t="s">
        <v>153</v>
      </c>
      <c r="T17" s="614" t="s">
        <v>154</v>
      </c>
      <c r="U17" s="614" t="s">
        <v>155</v>
      </c>
      <c r="V17" s="615" t="s">
        <v>156</v>
      </c>
      <c r="W17" s="612" t="s">
        <v>9</v>
      </c>
      <c r="X17" s="775" t="s">
        <v>290</v>
      </c>
      <c r="Y17" s="613" t="s">
        <v>151</v>
      </c>
      <c r="Z17" s="613" t="s">
        <v>278</v>
      </c>
      <c r="AA17" s="613" t="s">
        <v>152</v>
      </c>
      <c r="AB17" s="613" t="s">
        <v>153</v>
      </c>
      <c r="AC17" s="614" t="s">
        <v>154</v>
      </c>
      <c r="AD17" s="614" t="s">
        <v>155</v>
      </c>
      <c r="AE17" s="615" t="s">
        <v>156</v>
      </c>
      <c r="AF17" s="612" t="s">
        <v>9</v>
      </c>
      <c r="AG17" s="775" t="s">
        <v>290</v>
      </c>
      <c r="AH17" s="613" t="s">
        <v>151</v>
      </c>
      <c r="AI17" s="613" t="s">
        <v>278</v>
      </c>
      <c r="AJ17" s="613" t="s">
        <v>152</v>
      </c>
      <c r="AK17" s="613" t="s">
        <v>153</v>
      </c>
      <c r="AL17" s="614" t="s">
        <v>154</v>
      </c>
      <c r="AM17" s="614" t="s">
        <v>155</v>
      </c>
      <c r="AN17" s="616" t="s">
        <v>156</v>
      </c>
      <c r="AO17" s="617" t="s">
        <v>280</v>
      </c>
      <c r="AP17" s="618" t="s">
        <v>157</v>
      </c>
      <c r="AQ17" s="619" t="s">
        <v>158</v>
      </c>
      <c r="AR17" s="620" t="s">
        <v>173</v>
      </c>
      <c r="AS17" s="621"/>
      <c r="AT17" s="622" t="s">
        <v>174</v>
      </c>
      <c r="AU17" s="623" t="s">
        <v>176</v>
      </c>
      <c r="AV17" s="623" t="s">
        <v>175</v>
      </c>
      <c r="AW17" s="599"/>
      <c r="AX17" s="593"/>
      <c r="AZ17" s="609"/>
      <c r="BA17" s="609"/>
      <c r="BB17" s="609"/>
      <c r="BC17" s="609"/>
      <c r="BD17" s="609"/>
      <c r="BE17" s="609"/>
      <c r="BF17" s="609"/>
      <c r="BG17" s="609"/>
      <c r="BH17" s="609"/>
      <c r="BI17" s="610"/>
    </row>
    <row r="18" spans="2:61" s="624" customFormat="1" ht="15.75" customHeight="1">
      <c r="B18" s="611"/>
      <c r="C18" s="1047" t="str">
        <f>'Predicted B-C'!E7</f>
        <v>Test Intersection  -  Regional Project for the 
Betterment of All Mankind</v>
      </c>
      <c r="D18" s="1050" t="s">
        <v>194</v>
      </c>
      <c r="E18" s="1055">
        <f>'Post Eval Input'!E16:F16</f>
        <v>12345</v>
      </c>
      <c r="F18" s="1058">
        <v>2020</v>
      </c>
      <c r="G18" s="1092" t="str">
        <f>IF('Post Eval Input'!Q12="I","INTERSECTION",IF('Post Eval Input'!Q12="S","SEGMENT","NO ENTRY"))</f>
        <v>INTERSECTION</v>
      </c>
      <c r="H18" s="1095" t="str">
        <f>IF(G18="SEGMENT",'Post Eval Input'!Q14,"N/A")</f>
        <v>N/A</v>
      </c>
      <c r="I18" s="1098">
        <f>'Predicted B-C'!C22</f>
        <v>108</v>
      </c>
      <c r="J18" s="1063" t="str">
        <f>'Predicted B-C'!D22</f>
        <v>Intersection Illumination</v>
      </c>
      <c r="K18" s="1066">
        <f>'Predicted B-C'!F43</f>
        <v>1</v>
      </c>
      <c r="L18" s="1066">
        <f>'Predicted B-C'!G43</f>
        <v>15</v>
      </c>
      <c r="M18" s="625" t="str">
        <f>'Predicted B-C'!E22</f>
        <v>Night Crashes at unlighted intersections</v>
      </c>
      <c r="N18" s="626">
        <f>'Predicted B-C'!R22</f>
        <v>6</v>
      </c>
      <c r="O18" s="626">
        <f>'Predicted B-C'!S22</f>
        <v>0</v>
      </c>
      <c r="P18" s="626">
        <f>'Predicted B-C'!T22</f>
        <v>2</v>
      </c>
      <c r="Q18" s="626">
        <f>'Predicted B-C'!U22</f>
        <v>1</v>
      </c>
      <c r="R18" s="627">
        <f>'Predicted B-C'!V22</f>
        <v>0</v>
      </c>
      <c r="S18" s="1041">
        <f>'Post Eval Input'!O21</f>
        <v>10000</v>
      </c>
      <c r="T18" s="1044">
        <f>'Post Eval Input'!E21</f>
        <v>39813</v>
      </c>
      <c r="U18" s="1044">
        <f>'Post Eval Input'!F21</f>
        <v>41638</v>
      </c>
      <c r="V18" s="1075">
        <f>'Post Eval Input'!G21</f>
        <v>5</v>
      </c>
      <c r="W18" s="628">
        <f>'Post Eval Input'!Q33</f>
        <v>2</v>
      </c>
      <c r="X18" s="776">
        <f>'Post Eval Input'!R33</f>
        <v>0</v>
      </c>
      <c r="Y18" s="626">
        <f>'Post Eval Input'!S33</f>
        <v>0</v>
      </c>
      <c r="Z18" s="626">
        <f>'Post Eval Input'!T33</f>
        <v>1</v>
      </c>
      <c r="AA18" s="627">
        <f>'Post Eval Input'!U33</f>
        <v>0</v>
      </c>
      <c r="AB18" s="1041">
        <f>'Post Eval Input'!O22</f>
        <v>10500</v>
      </c>
      <c r="AC18" s="1044">
        <f>'Post Eval Input'!E22</f>
        <v>39082</v>
      </c>
      <c r="AD18" s="1044">
        <f>'Post Eval Input'!F22</f>
        <v>40542</v>
      </c>
      <c r="AE18" s="1075">
        <f>'Post Eval Input'!G22</f>
        <v>2</v>
      </c>
      <c r="AF18" s="628">
        <f>'Post Eval Input'!X33</f>
        <v>2</v>
      </c>
      <c r="AG18" s="776">
        <f>'Post Eval Input'!Y33</f>
        <v>0</v>
      </c>
      <c r="AH18" s="626">
        <f>'Post Eval Input'!Z33</f>
        <v>0</v>
      </c>
      <c r="AI18" s="626">
        <f>'Post Eval Input'!AA33</f>
        <v>0</v>
      </c>
      <c r="AJ18" s="627">
        <f>'Post Eval Input'!AB33</f>
        <v>0</v>
      </c>
      <c r="AK18" s="1041">
        <f>'Post Eval Input'!O24</f>
        <v>11000</v>
      </c>
      <c r="AL18" s="1044">
        <f>'Post Eval Input'!E24</f>
        <v>40908</v>
      </c>
      <c r="AM18" s="1044">
        <f>'Post Eval Input'!F24</f>
        <v>42003</v>
      </c>
      <c r="AN18" s="1086">
        <f>'Post Eval Input'!G24</f>
        <v>3</v>
      </c>
      <c r="AO18" s="1089">
        <f>'Post Eval Input'!AA20</f>
        <v>0</v>
      </c>
      <c r="AP18" s="1072">
        <f>'Predicted B-C'!E43</f>
        <v>250</v>
      </c>
      <c r="AQ18" s="1081">
        <v>300</v>
      </c>
      <c r="AR18" s="629">
        <f>'Predicted B-C'!P22</f>
        <v>-0.5</v>
      </c>
      <c r="AS18" s="1069" t="str">
        <f>'Predicted B-C'!T43</f>
        <v>11.3 : 1</v>
      </c>
      <c r="AT18" s="630">
        <f>'Post-Eval ARF'!R25</f>
        <v>-0.6414141414141414</v>
      </c>
      <c r="AU18" s="631">
        <f>'Post-Eval ARF'!T25</f>
        <v>-0.9705638474295191</v>
      </c>
      <c r="AV18" s="631"/>
      <c r="AW18" s="599"/>
      <c r="AX18" s="593"/>
      <c r="AZ18" s="632"/>
      <c r="BA18" s="632"/>
      <c r="BB18" s="633"/>
      <c r="BC18" s="634"/>
      <c r="BD18" s="635"/>
      <c r="BE18" s="634"/>
      <c r="BF18" s="636"/>
      <c r="BG18" s="637"/>
      <c r="BH18" s="638"/>
      <c r="BI18" s="634"/>
    </row>
    <row r="19" spans="2:61" s="624" customFormat="1" ht="15.75" customHeight="1">
      <c r="B19" s="611"/>
      <c r="C19" s="1048"/>
      <c r="D19" s="1051"/>
      <c r="E19" s="1056"/>
      <c r="F19" s="1059"/>
      <c r="G19" s="1093"/>
      <c r="H19" s="1096"/>
      <c r="I19" s="1099"/>
      <c r="J19" s="1064"/>
      <c r="K19" s="1067"/>
      <c r="L19" s="1067"/>
      <c r="M19" s="639">
        <f>'Predicted B-C'!E23</f>
        <v>0</v>
      </c>
      <c r="N19" s="640">
        <f>'Predicted B-C'!R23</f>
        <v>0</v>
      </c>
      <c r="O19" s="640">
        <f>'Predicted B-C'!S23</f>
        <v>0</v>
      </c>
      <c r="P19" s="640">
        <f>'Predicted B-C'!T23</f>
        <v>0</v>
      </c>
      <c r="Q19" s="640">
        <f>'Predicted B-C'!U23</f>
        <v>0</v>
      </c>
      <c r="R19" s="641">
        <f>'Predicted B-C'!V23</f>
        <v>0</v>
      </c>
      <c r="S19" s="1042"/>
      <c r="T19" s="1045"/>
      <c r="U19" s="1045"/>
      <c r="V19" s="1076"/>
      <c r="W19" s="642">
        <f>'Post Eval Input'!Q34</f>
        <v>0</v>
      </c>
      <c r="X19" s="777">
        <f>'Post Eval Input'!R34</f>
        <v>0</v>
      </c>
      <c r="Y19" s="640">
        <f>'Post Eval Input'!S34</f>
        <v>0</v>
      </c>
      <c r="Z19" s="640">
        <f>'Post Eval Input'!T34</f>
        <v>0</v>
      </c>
      <c r="AA19" s="641">
        <f>'Post Eval Input'!U34</f>
        <v>0</v>
      </c>
      <c r="AB19" s="1042"/>
      <c r="AC19" s="1045"/>
      <c r="AD19" s="1045"/>
      <c r="AE19" s="1076"/>
      <c r="AF19" s="642">
        <f>'Post Eval Input'!X34</f>
        <v>0</v>
      </c>
      <c r="AG19" s="777">
        <f>'Post Eval Input'!Y34</f>
        <v>0</v>
      </c>
      <c r="AH19" s="640">
        <f>'Post Eval Input'!Z34</f>
        <v>0</v>
      </c>
      <c r="AI19" s="640">
        <f>'Post Eval Input'!AA34</f>
        <v>0</v>
      </c>
      <c r="AJ19" s="641">
        <f>'Post Eval Input'!AB34</f>
        <v>0</v>
      </c>
      <c r="AK19" s="1042"/>
      <c r="AL19" s="1045"/>
      <c r="AM19" s="1045"/>
      <c r="AN19" s="1087"/>
      <c r="AO19" s="1090"/>
      <c r="AP19" s="1073"/>
      <c r="AQ19" s="1082"/>
      <c r="AR19" s="643">
        <f>'Predicted B-C'!P23</f>
        <v>0</v>
      </c>
      <c r="AS19" s="1070"/>
      <c r="AT19" s="644">
        <f>'Post-Eval ARF'!R26</f>
        <v>0</v>
      </c>
      <c r="AU19" s="645">
        <f>'Post-Eval ARF'!T26</f>
        <v>0</v>
      </c>
      <c r="AV19" s="645"/>
      <c r="AW19" s="599"/>
      <c r="AX19" s="593"/>
      <c r="AZ19" s="632"/>
      <c r="BA19" s="632"/>
      <c r="BB19" s="633"/>
      <c r="BC19" s="634"/>
      <c r="BD19" s="635"/>
      <c r="BE19" s="634"/>
      <c r="BF19" s="636"/>
      <c r="BG19" s="637"/>
      <c r="BH19" s="638"/>
      <c r="BI19" s="634"/>
    </row>
    <row r="20" spans="2:61" s="624" customFormat="1" ht="16.5" thickBot="1">
      <c r="B20" s="611"/>
      <c r="C20" s="1048"/>
      <c r="D20" s="1052"/>
      <c r="E20" s="1056"/>
      <c r="F20" s="1060"/>
      <c r="G20" s="1093"/>
      <c r="H20" s="1096"/>
      <c r="I20" s="1100"/>
      <c r="J20" s="1065"/>
      <c r="K20" s="1068"/>
      <c r="L20" s="1068"/>
      <c r="M20" s="646">
        <f>'Predicted B-C'!E24</f>
        <v>0</v>
      </c>
      <c r="N20" s="647">
        <f>'Predicted B-C'!R24</f>
        <v>0</v>
      </c>
      <c r="O20" s="647">
        <f>'Predicted B-C'!S24</f>
        <v>0</v>
      </c>
      <c r="P20" s="647">
        <f>'Predicted B-C'!T24</f>
        <v>0</v>
      </c>
      <c r="Q20" s="647">
        <f>'Predicted B-C'!U24</f>
        <v>0</v>
      </c>
      <c r="R20" s="648">
        <f>'Predicted B-C'!V24</f>
        <v>0</v>
      </c>
      <c r="S20" s="1042"/>
      <c r="T20" s="1045"/>
      <c r="U20" s="1045"/>
      <c r="V20" s="1076"/>
      <c r="W20" s="649">
        <f>'Post Eval Input'!Q35</f>
        <v>0</v>
      </c>
      <c r="X20" s="778">
        <f>'Post Eval Input'!R35</f>
        <v>0</v>
      </c>
      <c r="Y20" s="647">
        <f>'Post Eval Input'!S35</f>
        <v>0</v>
      </c>
      <c r="Z20" s="647">
        <f>'Post Eval Input'!T35</f>
        <v>0</v>
      </c>
      <c r="AA20" s="648">
        <f>'Post Eval Input'!U35</f>
        <v>0</v>
      </c>
      <c r="AB20" s="1042"/>
      <c r="AC20" s="1045"/>
      <c r="AD20" s="1045"/>
      <c r="AE20" s="1076"/>
      <c r="AF20" s="649">
        <f>'Post Eval Input'!X35</f>
        <v>0</v>
      </c>
      <c r="AG20" s="778">
        <f>'Post Eval Input'!Y35</f>
        <v>0</v>
      </c>
      <c r="AH20" s="647">
        <f>'Post Eval Input'!Z35</f>
        <v>0</v>
      </c>
      <c r="AI20" s="647">
        <f>'Post Eval Input'!AA35</f>
        <v>0</v>
      </c>
      <c r="AJ20" s="648">
        <f>'Post Eval Input'!AB35</f>
        <v>0</v>
      </c>
      <c r="AK20" s="1042"/>
      <c r="AL20" s="1045"/>
      <c r="AM20" s="1045"/>
      <c r="AN20" s="1087"/>
      <c r="AO20" s="1090"/>
      <c r="AP20" s="1074"/>
      <c r="AQ20" s="1083"/>
      <c r="AR20" s="650">
        <f>'Predicted B-C'!P24</f>
        <v>0</v>
      </c>
      <c r="AS20" s="1071"/>
      <c r="AT20" s="651">
        <f>'Post-Eval ARF'!R27</f>
        <v>0</v>
      </c>
      <c r="AU20" s="652">
        <f>'Post-Eval ARF'!T27</f>
        <v>0</v>
      </c>
      <c r="AV20" s="652"/>
      <c r="AW20" s="599"/>
      <c r="AX20" s="593"/>
      <c r="AZ20" s="632"/>
      <c r="BA20" s="632"/>
      <c r="BB20" s="633"/>
      <c r="BC20" s="634"/>
      <c r="BD20" s="635"/>
      <c r="BE20" s="634"/>
      <c r="BF20" s="636"/>
      <c r="BG20" s="637"/>
      <c r="BH20" s="638"/>
      <c r="BI20" s="634"/>
    </row>
    <row r="21" spans="2:61" s="624" customFormat="1" ht="15.75">
      <c r="B21" s="611"/>
      <c r="C21" s="1048"/>
      <c r="D21" s="1052"/>
      <c r="E21" s="1056"/>
      <c r="F21" s="1060"/>
      <c r="G21" s="1093"/>
      <c r="H21" s="1096"/>
      <c r="I21" s="1098">
        <f>'Predicted B-C'!C25</f>
        <v>101.3</v>
      </c>
      <c r="J21" s="1063" t="str">
        <f>'Predicted B-C'!D25</f>
        <v>Install Lt Turn Pocket at Rural, Unsignalized Intersection (Major Road Approach Only)</v>
      </c>
      <c r="K21" s="1066">
        <f>'Predicted B-C'!F44</f>
        <v>0.5</v>
      </c>
      <c r="L21" s="1066">
        <f>'Predicted B-C'!G44</f>
        <v>10</v>
      </c>
      <c r="M21" s="625" t="str">
        <f>'Predicted B-C'!E25</f>
        <v>Rear-ends and side-swipes involving turning cars making the target movement</v>
      </c>
      <c r="N21" s="626">
        <f>'Predicted B-C'!R25</f>
        <v>5</v>
      </c>
      <c r="O21" s="626">
        <f>'Predicted B-C'!S25</f>
        <v>0</v>
      </c>
      <c r="P21" s="626">
        <f>'Predicted B-C'!T25</f>
        <v>2</v>
      </c>
      <c r="Q21" s="626">
        <f>'Predicted B-C'!U25</f>
        <v>2</v>
      </c>
      <c r="R21" s="627">
        <f>'Predicted B-C'!V25</f>
        <v>0</v>
      </c>
      <c r="S21" s="1042"/>
      <c r="T21" s="1045"/>
      <c r="U21" s="1045"/>
      <c r="V21" s="1076"/>
      <c r="W21" s="628">
        <f>'Post Eval Input'!Q36</f>
        <v>1</v>
      </c>
      <c r="X21" s="776">
        <f>'Post Eval Input'!R36</f>
        <v>0</v>
      </c>
      <c r="Y21" s="626">
        <f>'Post Eval Input'!S36</f>
        <v>1</v>
      </c>
      <c r="Z21" s="626">
        <f>'Post Eval Input'!T36</f>
        <v>1</v>
      </c>
      <c r="AA21" s="627">
        <f>'Post Eval Input'!U36</f>
        <v>0</v>
      </c>
      <c r="AB21" s="1042"/>
      <c r="AC21" s="1045"/>
      <c r="AD21" s="1045"/>
      <c r="AE21" s="1076"/>
      <c r="AF21" s="628">
        <f>'Post Eval Input'!X36</f>
        <v>1</v>
      </c>
      <c r="AG21" s="776">
        <f>'Post Eval Input'!Y36</f>
        <v>0</v>
      </c>
      <c r="AH21" s="626">
        <f>'Post Eval Input'!Z36</f>
        <v>0</v>
      </c>
      <c r="AI21" s="626">
        <f>'Post Eval Input'!AA36</f>
        <v>1</v>
      </c>
      <c r="AJ21" s="627">
        <f>'Post Eval Input'!AB36</f>
        <v>0</v>
      </c>
      <c r="AK21" s="1042"/>
      <c r="AL21" s="1045"/>
      <c r="AM21" s="1045"/>
      <c r="AN21" s="1087"/>
      <c r="AO21" s="1090"/>
      <c r="AP21" s="1072">
        <f>'Predicted B-C'!E44</f>
        <v>600</v>
      </c>
      <c r="AQ21" s="1081">
        <v>700</v>
      </c>
      <c r="AR21" s="629">
        <f>'Predicted B-C'!P25</f>
        <v>-0.6</v>
      </c>
      <c r="AS21" s="1069" t="str">
        <f>'Predicted B-C'!T44</f>
        <v>6.4 : 1</v>
      </c>
      <c r="AT21" s="630">
        <f>'Post-Eval ARF'!R28</f>
        <v>-0.6414141414141414</v>
      </c>
      <c r="AU21" s="631">
        <f>'Post-Eval ARF'!T28</f>
        <v>-0.4847429968913344</v>
      </c>
      <c r="AV21" s="631"/>
      <c r="AW21" s="599"/>
      <c r="AX21" s="593"/>
      <c r="AZ21" s="653"/>
      <c r="BA21" s="653"/>
      <c r="BB21" s="653"/>
      <c r="BC21" s="653"/>
      <c r="BD21" s="653"/>
      <c r="BE21" s="653"/>
      <c r="BF21" s="653"/>
      <c r="BG21" s="653"/>
      <c r="BH21" s="653"/>
      <c r="BI21" s="634"/>
    </row>
    <row r="22" spans="2:61" s="624" customFormat="1" ht="15.75">
      <c r="B22" s="611"/>
      <c r="C22" s="1048"/>
      <c r="D22" s="1052"/>
      <c r="E22" s="1056"/>
      <c r="F22" s="1060"/>
      <c r="G22" s="1093"/>
      <c r="H22" s="1096"/>
      <c r="I22" s="1099"/>
      <c r="J22" s="1064"/>
      <c r="K22" s="1067"/>
      <c r="L22" s="1067"/>
      <c r="M22" s="639">
        <f>'Predicted B-C'!E26</f>
        <v>0</v>
      </c>
      <c r="N22" s="640">
        <f>'Predicted B-C'!R26</f>
        <v>0</v>
      </c>
      <c r="O22" s="640">
        <f>'Predicted B-C'!S26</f>
        <v>0</v>
      </c>
      <c r="P22" s="640">
        <f>'Predicted B-C'!T26</f>
        <v>0</v>
      </c>
      <c r="Q22" s="640">
        <f>'Predicted B-C'!U26</f>
        <v>0</v>
      </c>
      <c r="R22" s="641">
        <f>'Predicted B-C'!V26</f>
        <v>0</v>
      </c>
      <c r="S22" s="1042"/>
      <c r="T22" s="1045"/>
      <c r="U22" s="1045"/>
      <c r="V22" s="1076"/>
      <c r="W22" s="642">
        <f>'Post Eval Input'!Q37</f>
        <v>0</v>
      </c>
      <c r="X22" s="777">
        <f>'Post Eval Input'!R37</f>
        <v>0</v>
      </c>
      <c r="Y22" s="640">
        <f>'Post Eval Input'!S37</f>
        <v>0</v>
      </c>
      <c r="Z22" s="640">
        <f>'Post Eval Input'!T37</f>
        <v>0</v>
      </c>
      <c r="AA22" s="641">
        <f>'Post Eval Input'!U37</f>
        <v>0</v>
      </c>
      <c r="AB22" s="1042"/>
      <c r="AC22" s="1045"/>
      <c r="AD22" s="1045"/>
      <c r="AE22" s="1076"/>
      <c r="AF22" s="642">
        <f>'Post Eval Input'!X37</f>
        <v>0</v>
      </c>
      <c r="AG22" s="777">
        <f>'Post Eval Input'!Y37</f>
        <v>0</v>
      </c>
      <c r="AH22" s="640">
        <f>'Post Eval Input'!Z37</f>
        <v>0</v>
      </c>
      <c r="AI22" s="640">
        <f>'Post Eval Input'!AA37</f>
        <v>0</v>
      </c>
      <c r="AJ22" s="641">
        <f>'Post Eval Input'!AB37</f>
        <v>0</v>
      </c>
      <c r="AK22" s="1042"/>
      <c r="AL22" s="1045"/>
      <c r="AM22" s="1045"/>
      <c r="AN22" s="1087"/>
      <c r="AO22" s="1090"/>
      <c r="AP22" s="1073"/>
      <c r="AQ22" s="1082"/>
      <c r="AR22" s="643">
        <f>'Predicted B-C'!P26</f>
        <v>0</v>
      </c>
      <c r="AS22" s="1070"/>
      <c r="AT22" s="644">
        <f>'Post-Eval ARF'!R29</f>
        <v>0</v>
      </c>
      <c r="AU22" s="645">
        <f>'Post-Eval ARF'!T29</f>
        <v>0</v>
      </c>
      <c r="AV22" s="645"/>
      <c r="AW22" s="599"/>
      <c r="AX22" s="593"/>
      <c r="AZ22" s="653"/>
      <c r="BA22" s="653"/>
      <c r="BB22" s="653"/>
      <c r="BC22" s="653"/>
      <c r="BD22" s="653"/>
      <c r="BE22" s="653"/>
      <c r="BF22" s="653"/>
      <c r="BG22" s="653"/>
      <c r="BH22" s="653"/>
      <c r="BI22" s="634"/>
    </row>
    <row r="23" spans="2:61" s="624" customFormat="1" ht="16.5" thickBot="1">
      <c r="B23" s="611"/>
      <c r="C23" s="1048"/>
      <c r="D23" s="1052"/>
      <c r="E23" s="1056"/>
      <c r="F23" s="1060"/>
      <c r="G23" s="1093"/>
      <c r="H23" s="1096"/>
      <c r="I23" s="1100"/>
      <c r="J23" s="1065"/>
      <c r="K23" s="1068"/>
      <c r="L23" s="1068"/>
      <c r="M23" s="646">
        <f>'Predicted B-C'!E27</f>
        <v>0</v>
      </c>
      <c r="N23" s="647">
        <f>'Predicted B-C'!R27</f>
        <v>0</v>
      </c>
      <c r="O23" s="647">
        <f>'Predicted B-C'!S27</f>
        <v>0</v>
      </c>
      <c r="P23" s="647">
        <f>'Predicted B-C'!T27</f>
        <v>0</v>
      </c>
      <c r="Q23" s="647">
        <f>'Predicted B-C'!U27</f>
        <v>0</v>
      </c>
      <c r="R23" s="648">
        <f>'Predicted B-C'!V27</f>
        <v>0</v>
      </c>
      <c r="S23" s="1042"/>
      <c r="T23" s="1045"/>
      <c r="U23" s="1045"/>
      <c r="V23" s="1076"/>
      <c r="W23" s="649">
        <f>'Post Eval Input'!Q38</f>
        <v>0</v>
      </c>
      <c r="X23" s="778">
        <f>'Post Eval Input'!R38</f>
        <v>0</v>
      </c>
      <c r="Y23" s="647">
        <f>'Post Eval Input'!S38</f>
        <v>0</v>
      </c>
      <c r="Z23" s="647">
        <f>'Post Eval Input'!T38</f>
        <v>0</v>
      </c>
      <c r="AA23" s="648">
        <f>'Post Eval Input'!U38</f>
        <v>0</v>
      </c>
      <c r="AB23" s="1042"/>
      <c r="AC23" s="1045"/>
      <c r="AD23" s="1045"/>
      <c r="AE23" s="1076"/>
      <c r="AF23" s="649">
        <f>'Post Eval Input'!X38</f>
        <v>0</v>
      </c>
      <c r="AG23" s="778">
        <f>'Post Eval Input'!Y38</f>
        <v>0</v>
      </c>
      <c r="AH23" s="647">
        <f>'Post Eval Input'!Z38</f>
        <v>0</v>
      </c>
      <c r="AI23" s="647">
        <f>'Post Eval Input'!AA38</f>
        <v>0</v>
      </c>
      <c r="AJ23" s="648">
        <f>'Post Eval Input'!AB38</f>
        <v>0</v>
      </c>
      <c r="AK23" s="1042"/>
      <c r="AL23" s="1045"/>
      <c r="AM23" s="1045"/>
      <c r="AN23" s="1087"/>
      <c r="AO23" s="1090"/>
      <c r="AP23" s="1074"/>
      <c r="AQ23" s="1083"/>
      <c r="AR23" s="650">
        <f>'Predicted B-C'!P27</f>
        <v>0</v>
      </c>
      <c r="AS23" s="1071"/>
      <c r="AT23" s="651">
        <f>'Post-Eval ARF'!R30</f>
        <v>0</v>
      </c>
      <c r="AU23" s="652">
        <f>'Post-Eval ARF'!T30</f>
        <v>0</v>
      </c>
      <c r="AV23" s="652"/>
      <c r="AW23" s="599"/>
      <c r="AX23" s="593"/>
      <c r="AZ23" s="653"/>
      <c r="BA23" s="653"/>
      <c r="BB23" s="653"/>
      <c r="BC23" s="653"/>
      <c r="BD23" s="653"/>
      <c r="BE23" s="653"/>
      <c r="BF23" s="653"/>
      <c r="BG23" s="653"/>
      <c r="BH23" s="653"/>
      <c r="BI23" s="634"/>
    </row>
    <row r="24" spans="2:50" s="624" customFormat="1" ht="15.75">
      <c r="B24" s="611"/>
      <c r="C24" s="1048"/>
      <c r="D24" s="1052"/>
      <c r="E24" s="1056"/>
      <c r="F24" s="1060"/>
      <c r="G24" s="1093"/>
      <c r="H24" s="1096"/>
      <c r="I24" s="1098">
        <f>'Predicted B-C'!C28</f>
        <v>109</v>
      </c>
      <c r="J24" s="1063" t="str">
        <f>'Predicted B-C'!D28</f>
        <v>New Traffic Signal</v>
      </c>
      <c r="K24" s="1066">
        <f>'Predicted B-C'!F45</f>
        <v>10</v>
      </c>
      <c r="L24" s="1066">
        <f>'Predicted B-C'!G45</f>
        <v>10</v>
      </c>
      <c r="M24" s="625" t="str">
        <f>'Predicted B-C'!E28</f>
        <v>Angle crashes</v>
      </c>
      <c r="N24" s="626">
        <f>'Predicted B-C'!R28</f>
        <v>10</v>
      </c>
      <c r="O24" s="626">
        <f>'Predicted B-C'!S28</f>
        <v>0</v>
      </c>
      <c r="P24" s="626">
        <f>'Predicted B-C'!T28</f>
        <v>5</v>
      </c>
      <c r="Q24" s="626">
        <f>'Predicted B-C'!U28</f>
        <v>1</v>
      </c>
      <c r="R24" s="627">
        <f>'Predicted B-C'!V28</f>
        <v>0</v>
      </c>
      <c r="S24" s="1042"/>
      <c r="T24" s="1045"/>
      <c r="U24" s="1045"/>
      <c r="V24" s="1076"/>
      <c r="W24" s="628">
        <f>'Post Eval Input'!Q39</f>
        <v>6</v>
      </c>
      <c r="X24" s="776">
        <f>'Post Eval Input'!R39</f>
        <v>0</v>
      </c>
      <c r="Y24" s="626">
        <f>'Post Eval Input'!S39</f>
        <v>2</v>
      </c>
      <c r="Z24" s="626">
        <f>'Post Eval Input'!T39</f>
        <v>0</v>
      </c>
      <c r="AA24" s="627">
        <f>'Post Eval Input'!U39</f>
        <v>0</v>
      </c>
      <c r="AB24" s="1042"/>
      <c r="AC24" s="1045"/>
      <c r="AD24" s="1045"/>
      <c r="AE24" s="1076"/>
      <c r="AF24" s="628">
        <f>'Post Eval Input'!X39</f>
        <v>3</v>
      </c>
      <c r="AG24" s="776">
        <f>'Post Eval Input'!Y39</f>
        <v>0</v>
      </c>
      <c r="AH24" s="626">
        <f>'Post Eval Input'!Z39</f>
        <v>1</v>
      </c>
      <c r="AI24" s="626">
        <f>'Post Eval Input'!AA39</f>
        <v>0</v>
      </c>
      <c r="AJ24" s="627">
        <f>'Post Eval Input'!AB39</f>
        <v>0</v>
      </c>
      <c r="AK24" s="1042"/>
      <c r="AL24" s="1045"/>
      <c r="AM24" s="1045"/>
      <c r="AN24" s="1087"/>
      <c r="AO24" s="1090"/>
      <c r="AP24" s="1072">
        <f>'Predicted B-C'!E45</f>
        <v>1250</v>
      </c>
      <c r="AQ24" s="1081">
        <v>1500</v>
      </c>
      <c r="AR24" s="629">
        <f>'Predicted B-C'!P28</f>
        <v>-0.6</v>
      </c>
      <c r="AS24" s="1069" t="str">
        <f>'Predicted B-C'!T45</f>
        <v>2.3 : 1</v>
      </c>
      <c r="AT24" s="630">
        <f>'Post-Eval ARF'!R31</f>
        <v>-0.6414141414141414</v>
      </c>
      <c r="AU24" s="631">
        <f>'Post-Eval ARF'!T31</f>
        <v>-0.7621975113987893</v>
      </c>
      <c r="AV24" s="631"/>
      <c r="AW24" s="599"/>
      <c r="AX24" s="593"/>
    </row>
    <row r="25" spans="2:50" s="624" customFormat="1" ht="15.75">
      <c r="B25" s="611"/>
      <c r="C25" s="1048"/>
      <c r="D25" s="1052"/>
      <c r="E25" s="1056"/>
      <c r="F25" s="1060"/>
      <c r="G25" s="1093"/>
      <c r="H25" s="1096"/>
      <c r="I25" s="1099"/>
      <c r="J25" s="1064"/>
      <c r="K25" s="1067"/>
      <c r="L25" s="1067"/>
      <c r="M25" s="639" t="str">
        <f>'Predicted B-C'!E29</f>
        <v>Rear-end crashes ( expected to increase)</v>
      </c>
      <c r="N25" s="640">
        <f>'Predicted B-C'!R29</f>
        <v>6</v>
      </c>
      <c r="O25" s="640">
        <f>'Predicted B-C'!S29</f>
        <v>0</v>
      </c>
      <c r="P25" s="640">
        <f>'Predicted B-C'!T29</f>
        <v>5</v>
      </c>
      <c r="Q25" s="640">
        <f>'Predicted B-C'!U29</f>
        <v>0</v>
      </c>
      <c r="R25" s="641">
        <f>'Predicted B-C'!V29</f>
        <v>0</v>
      </c>
      <c r="S25" s="1042"/>
      <c r="T25" s="1045"/>
      <c r="U25" s="1045"/>
      <c r="V25" s="1076"/>
      <c r="W25" s="642">
        <f>'Post Eval Input'!Q40</f>
        <v>2</v>
      </c>
      <c r="X25" s="777">
        <f>'Post Eval Input'!R40</f>
        <v>0</v>
      </c>
      <c r="Y25" s="640">
        <f>'Post Eval Input'!S40</f>
        <v>0</v>
      </c>
      <c r="Z25" s="640">
        <f>'Post Eval Input'!T40</f>
        <v>1</v>
      </c>
      <c r="AA25" s="641">
        <f>'Post Eval Input'!U40</f>
        <v>0</v>
      </c>
      <c r="AB25" s="1042"/>
      <c r="AC25" s="1045"/>
      <c r="AD25" s="1045"/>
      <c r="AE25" s="1076"/>
      <c r="AF25" s="642">
        <f>'Post Eval Input'!X40</f>
        <v>5</v>
      </c>
      <c r="AG25" s="777">
        <f>'Post Eval Input'!Y40</f>
        <v>0</v>
      </c>
      <c r="AH25" s="640">
        <f>'Post Eval Input'!Z40</f>
        <v>2</v>
      </c>
      <c r="AI25" s="640">
        <f>'Post Eval Input'!AA40</f>
        <v>1</v>
      </c>
      <c r="AJ25" s="641">
        <f>'Post Eval Input'!AB40</f>
        <v>0</v>
      </c>
      <c r="AK25" s="1042"/>
      <c r="AL25" s="1045"/>
      <c r="AM25" s="1045"/>
      <c r="AN25" s="1087"/>
      <c r="AO25" s="1090"/>
      <c r="AP25" s="1073"/>
      <c r="AQ25" s="1082"/>
      <c r="AR25" s="643">
        <f>'Predicted B-C'!P29</f>
        <v>0.25</v>
      </c>
      <c r="AS25" s="1070"/>
      <c r="AT25" s="644">
        <f>'Post-Eval ARF'!R32</f>
        <v>0.22943722943722933</v>
      </c>
      <c r="AU25" s="645">
        <f>'Post-Eval ARF'!T32</f>
        <v>0.30797987792447623</v>
      </c>
      <c r="AV25" s="645"/>
      <c r="AW25" s="599"/>
      <c r="AX25" s="593"/>
    </row>
    <row r="26" spans="2:50" s="624" customFormat="1" ht="16.5" thickBot="1">
      <c r="B26" s="611"/>
      <c r="C26" s="1048"/>
      <c r="D26" s="1052"/>
      <c r="E26" s="1056"/>
      <c r="F26" s="1060"/>
      <c r="G26" s="1093"/>
      <c r="H26" s="1096"/>
      <c r="I26" s="1100"/>
      <c r="J26" s="1065"/>
      <c r="K26" s="1068"/>
      <c r="L26" s="1068"/>
      <c r="M26" s="646">
        <f>'Predicted B-C'!E30</f>
        <v>0</v>
      </c>
      <c r="N26" s="647">
        <f>'Predicted B-C'!R30</f>
        <v>0</v>
      </c>
      <c r="O26" s="647">
        <f>'Predicted B-C'!S30</f>
        <v>0</v>
      </c>
      <c r="P26" s="647">
        <f>'Predicted B-C'!T30</f>
        <v>0</v>
      </c>
      <c r="Q26" s="647">
        <f>'Predicted B-C'!U30</f>
        <v>0</v>
      </c>
      <c r="R26" s="648">
        <f>'Predicted B-C'!V30</f>
        <v>0</v>
      </c>
      <c r="S26" s="1042"/>
      <c r="T26" s="1045"/>
      <c r="U26" s="1045"/>
      <c r="V26" s="1076"/>
      <c r="W26" s="649">
        <f>'Post Eval Input'!Q41</f>
        <v>0</v>
      </c>
      <c r="X26" s="778">
        <f>'Post Eval Input'!R41</f>
        <v>0</v>
      </c>
      <c r="Y26" s="647">
        <f>'Post Eval Input'!S41</f>
        <v>0</v>
      </c>
      <c r="Z26" s="647">
        <f>'Post Eval Input'!T41</f>
        <v>0</v>
      </c>
      <c r="AA26" s="648">
        <f>'Post Eval Input'!U41</f>
        <v>0</v>
      </c>
      <c r="AB26" s="1042"/>
      <c r="AC26" s="1045"/>
      <c r="AD26" s="1045"/>
      <c r="AE26" s="1076"/>
      <c r="AF26" s="649">
        <f>'Post Eval Input'!X41</f>
        <v>0</v>
      </c>
      <c r="AG26" s="778">
        <f>'Post Eval Input'!Y41</f>
        <v>0</v>
      </c>
      <c r="AH26" s="647">
        <f>'Post Eval Input'!Z41</f>
        <v>0</v>
      </c>
      <c r="AI26" s="647">
        <f>'Post Eval Input'!AA41</f>
        <v>0</v>
      </c>
      <c r="AJ26" s="648">
        <f>'Post Eval Input'!AB41</f>
        <v>0</v>
      </c>
      <c r="AK26" s="1042"/>
      <c r="AL26" s="1045"/>
      <c r="AM26" s="1045"/>
      <c r="AN26" s="1087"/>
      <c r="AO26" s="1090"/>
      <c r="AP26" s="1074"/>
      <c r="AQ26" s="1083"/>
      <c r="AR26" s="650">
        <f>'Predicted B-C'!P30</f>
        <v>0</v>
      </c>
      <c r="AS26" s="1071"/>
      <c r="AT26" s="651">
        <f>'Post-Eval ARF'!R33</f>
        <v>0</v>
      </c>
      <c r="AU26" s="652">
        <f>'Post-Eval ARF'!T33</f>
        <v>0</v>
      </c>
      <c r="AV26" s="652"/>
      <c r="AW26" s="599"/>
      <c r="AX26" s="593"/>
    </row>
    <row r="27" spans="2:50" s="624" customFormat="1" ht="15.75">
      <c r="B27" s="611"/>
      <c r="C27" s="1048"/>
      <c r="D27" s="1053"/>
      <c r="E27" s="1056"/>
      <c r="F27" s="1061"/>
      <c r="G27" s="1093"/>
      <c r="H27" s="1096"/>
      <c r="I27" s="1098">
        <f>'Predicted B-C'!C31</f>
        <v>0</v>
      </c>
      <c r="J27" s="1063">
        <f>'Predicted B-C'!D31</f>
        <v>0</v>
      </c>
      <c r="K27" s="1066">
        <f>'Predicted B-C'!F46</f>
        <v>0</v>
      </c>
      <c r="L27" s="1066">
        <f>'Predicted B-C'!G46</f>
        <v>0</v>
      </c>
      <c r="M27" s="625">
        <f>'Predicted B-C'!E31</f>
        <v>0</v>
      </c>
      <c r="N27" s="626">
        <f>'Predicted B-C'!R31</f>
        <v>0</v>
      </c>
      <c r="O27" s="626">
        <f>'Predicted B-C'!S31</f>
        <v>0</v>
      </c>
      <c r="P27" s="626">
        <f>'Predicted B-C'!T31</f>
        <v>0</v>
      </c>
      <c r="Q27" s="626">
        <f>'Predicted B-C'!U31</f>
        <v>0</v>
      </c>
      <c r="R27" s="627">
        <f>'Predicted B-C'!V31</f>
        <v>0</v>
      </c>
      <c r="S27" s="1042"/>
      <c r="T27" s="1045"/>
      <c r="U27" s="1045"/>
      <c r="V27" s="1076"/>
      <c r="W27" s="628">
        <f>'Post Eval Input'!Q42</f>
        <v>0</v>
      </c>
      <c r="X27" s="776">
        <f>'Post Eval Input'!R42</f>
        <v>0</v>
      </c>
      <c r="Y27" s="626">
        <f>'Post Eval Input'!S42</f>
        <v>0</v>
      </c>
      <c r="Z27" s="626">
        <f>'Post Eval Input'!T42</f>
        <v>0</v>
      </c>
      <c r="AA27" s="627">
        <f>'Post Eval Input'!U42</f>
        <v>0</v>
      </c>
      <c r="AB27" s="1042"/>
      <c r="AC27" s="1045"/>
      <c r="AD27" s="1045"/>
      <c r="AE27" s="1076"/>
      <c r="AF27" s="628">
        <f>'Post Eval Input'!X42</f>
        <v>0</v>
      </c>
      <c r="AG27" s="776">
        <f>'Post Eval Input'!Y42</f>
        <v>0</v>
      </c>
      <c r="AH27" s="626">
        <f>'Post Eval Input'!Z42</f>
        <v>0</v>
      </c>
      <c r="AI27" s="626">
        <f>'Post Eval Input'!AA42</f>
        <v>0</v>
      </c>
      <c r="AJ27" s="627">
        <f>'Post Eval Input'!AB42</f>
        <v>0</v>
      </c>
      <c r="AK27" s="1042"/>
      <c r="AL27" s="1045"/>
      <c r="AM27" s="1045"/>
      <c r="AN27" s="1087"/>
      <c r="AO27" s="1090"/>
      <c r="AP27" s="1078">
        <f>'Predicted B-C'!E46</f>
        <v>0</v>
      </c>
      <c r="AQ27" s="1081">
        <v>0</v>
      </c>
      <c r="AR27" s="629">
        <f>'Predicted B-C'!P31</f>
        <v>0</v>
      </c>
      <c r="AS27" s="1069">
        <f>'Predicted B-C'!T46</f>
        <v>0</v>
      </c>
      <c r="AT27" s="630">
        <f>'Post-Eval ARF'!R34</f>
        <v>0</v>
      </c>
      <c r="AU27" s="631">
        <f>'Post-Eval ARF'!T34</f>
        <v>0</v>
      </c>
      <c r="AV27" s="654"/>
      <c r="AW27" s="599"/>
      <c r="AX27" s="593"/>
    </row>
    <row r="28" spans="2:50" s="624" customFormat="1" ht="15.75">
      <c r="B28" s="611"/>
      <c r="C28" s="1048"/>
      <c r="D28" s="1053"/>
      <c r="E28" s="1056"/>
      <c r="F28" s="1061"/>
      <c r="G28" s="1093"/>
      <c r="H28" s="1096"/>
      <c r="I28" s="1099"/>
      <c r="J28" s="1064"/>
      <c r="K28" s="1067"/>
      <c r="L28" s="1067"/>
      <c r="M28" s="639">
        <f>'Predicted B-C'!E32</f>
        <v>0</v>
      </c>
      <c r="N28" s="640">
        <f>'Predicted B-C'!R32</f>
        <v>0</v>
      </c>
      <c r="O28" s="640">
        <f>'Predicted B-C'!S32</f>
        <v>0</v>
      </c>
      <c r="P28" s="640">
        <f>'Predicted B-C'!T32</f>
        <v>0</v>
      </c>
      <c r="Q28" s="640">
        <f>'Predicted B-C'!U32</f>
        <v>0</v>
      </c>
      <c r="R28" s="641">
        <f>'Predicted B-C'!V32</f>
        <v>0</v>
      </c>
      <c r="S28" s="1042"/>
      <c r="T28" s="1045"/>
      <c r="U28" s="1045"/>
      <c r="V28" s="1076"/>
      <c r="W28" s="642">
        <f>'Post Eval Input'!Q43</f>
        <v>0</v>
      </c>
      <c r="X28" s="777">
        <f>'Post Eval Input'!R43</f>
        <v>0</v>
      </c>
      <c r="Y28" s="640">
        <f>'Post Eval Input'!S43</f>
        <v>0</v>
      </c>
      <c r="Z28" s="640">
        <f>'Post Eval Input'!T43</f>
        <v>0</v>
      </c>
      <c r="AA28" s="641">
        <f>'Post Eval Input'!U43</f>
        <v>0</v>
      </c>
      <c r="AB28" s="1042"/>
      <c r="AC28" s="1045"/>
      <c r="AD28" s="1045"/>
      <c r="AE28" s="1076"/>
      <c r="AF28" s="642">
        <f>'Post Eval Input'!X43</f>
        <v>0</v>
      </c>
      <c r="AG28" s="777">
        <f>'Post Eval Input'!Y43</f>
        <v>0</v>
      </c>
      <c r="AH28" s="640">
        <f>'Post Eval Input'!Z43</f>
        <v>0</v>
      </c>
      <c r="AI28" s="640">
        <f>'Post Eval Input'!AA43</f>
        <v>0</v>
      </c>
      <c r="AJ28" s="641">
        <f>'Post Eval Input'!AB43</f>
        <v>0</v>
      </c>
      <c r="AK28" s="1042"/>
      <c r="AL28" s="1045"/>
      <c r="AM28" s="1045"/>
      <c r="AN28" s="1087"/>
      <c r="AO28" s="1090"/>
      <c r="AP28" s="1079"/>
      <c r="AQ28" s="1082"/>
      <c r="AR28" s="643">
        <f>'Predicted B-C'!P32</f>
        <v>0</v>
      </c>
      <c r="AS28" s="1070"/>
      <c r="AT28" s="644">
        <f>'Post-Eval ARF'!R35</f>
        <v>0</v>
      </c>
      <c r="AU28" s="645">
        <f>'Post-Eval ARF'!T35</f>
        <v>0</v>
      </c>
      <c r="AV28" s="655"/>
      <c r="AW28" s="599"/>
      <c r="AX28" s="593"/>
    </row>
    <row r="29" spans="2:50" s="624" customFormat="1" ht="16.5" thickBot="1">
      <c r="B29" s="611"/>
      <c r="C29" s="1049"/>
      <c r="D29" s="1054"/>
      <c r="E29" s="1057"/>
      <c r="F29" s="1062"/>
      <c r="G29" s="1094"/>
      <c r="H29" s="1097"/>
      <c r="I29" s="1100"/>
      <c r="J29" s="1065"/>
      <c r="K29" s="1068"/>
      <c r="L29" s="1068"/>
      <c r="M29" s="646">
        <f>'Predicted B-C'!E33</f>
        <v>0</v>
      </c>
      <c r="N29" s="647">
        <f>'Predicted B-C'!R33</f>
        <v>0</v>
      </c>
      <c r="O29" s="647">
        <f>'Predicted B-C'!S33</f>
        <v>0</v>
      </c>
      <c r="P29" s="647">
        <f>'Predicted B-C'!T33</f>
        <v>0</v>
      </c>
      <c r="Q29" s="647">
        <f>'Predicted B-C'!U33</f>
        <v>0</v>
      </c>
      <c r="R29" s="648">
        <f>'Predicted B-C'!V33</f>
        <v>0</v>
      </c>
      <c r="S29" s="1043"/>
      <c r="T29" s="1046"/>
      <c r="U29" s="1046"/>
      <c r="V29" s="1077"/>
      <c r="W29" s="649">
        <f>'Post Eval Input'!Q44</f>
        <v>0</v>
      </c>
      <c r="X29" s="778">
        <f>'Post Eval Input'!R44</f>
        <v>0</v>
      </c>
      <c r="Y29" s="647">
        <f>'Post Eval Input'!S44</f>
        <v>0</v>
      </c>
      <c r="Z29" s="647">
        <f>'Post Eval Input'!T44</f>
        <v>0</v>
      </c>
      <c r="AA29" s="648">
        <f>'Post Eval Input'!U44</f>
        <v>0</v>
      </c>
      <c r="AB29" s="1043"/>
      <c r="AC29" s="1046"/>
      <c r="AD29" s="1046"/>
      <c r="AE29" s="1077"/>
      <c r="AF29" s="649">
        <f>'Post Eval Input'!X44</f>
        <v>0</v>
      </c>
      <c r="AG29" s="778">
        <f>'Post Eval Input'!Y44</f>
        <v>0</v>
      </c>
      <c r="AH29" s="647">
        <f>'Post Eval Input'!Z44</f>
        <v>0</v>
      </c>
      <c r="AI29" s="647">
        <f>'Post Eval Input'!AA44</f>
        <v>0</v>
      </c>
      <c r="AJ29" s="648">
        <f>'Post Eval Input'!AB44</f>
        <v>0</v>
      </c>
      <c r="AK29" s="1043"/>
      <c r="AL29" s="1046"/>
      <c r="AM29" s="1046"/>
      <c r="AN29" s="1088"/>
      <c r="AO29" s="1091"/>
      <c r="AP29" s="1080"/>
      <c r="AQ29" s="1083"/>
      <c r="AR29" s="650">
        <f>'Predicted B-C'!P33</f>
        <v>0</v>
      </c>
      <c r="AS29" s="1071"/>
      <c r="AT29" s="651">
        <f>'Post-Eval ARF'!R36</f>
        <v>0</v>
      </c>
      <c r="AU29" s="652">
        <f>'Post-Eval ARF'!T36</f>
        <v>0</v>
      </c>
      <c r="AV29" s="656"/>
      <c r="AW29" s="599"/>
      <c r="AX29" s="593"/>
    </row>
    <row r="30" spans="2:50" ht="16.5" thickBot="1">
      <c r="B30" s="597"/>
      <c r="C30" s="657"/>
      <c r="D30" s="657"/>
      <c r="E30" s="657"/>
      <c r="F30" s="657"/>
      <c r="G30" s="657"/>
      <c r="H30" s="657"/>
      <c r="I30" s="657"/>
      <c r="J30" s="1084" t="s">
        <v>159</v>
      </c>
      <c r="K30" s="1085"/>
      <c r="L30" s="658">
        <f>'Post-Eval B-C'!I17</f>
        <v>10.595238095238095</v>
      </c>
      <c r="M30" s="659" t="s">
        <v>276</v>
      </c>
      <c r="N30" s="660">
        <f>'Post Eval Input'!H21</f>
        <v>29</v>
      </c>
      <c r="O30" s="660">
        <f>'Post Eval Input'!I21</f>
        <v>0</v>
      </c>
      <c r="P30" s="660">
        <f>'Post Eval Input'!J21</f>
        <v>12</v>
      </c>
      <c r="Q30" s="660">
        <f>'Post Eval Input'!K21</f>
        <v>6</v>
      </c>
      <c r="R30" s="661">
        <f>'Post Eval Input'!L21</f>
        <v>0</v>
      </c>
      <c r="S30" s="662"/>
      <c r="T30" s="663"/>
      <c r="U30" s="663"/>
      <c r="V30" s="664"/>
      <c r="W30" s="665">
        <f>'Post Eval Input'!H22</f>
        <v>12</v>
      </c>
      <c r="X30" s="665">
        <f>'Post Eval Input'!I22</f>
        <v>0</v>
      </c>
      <c r="Y30" s="660">
        <f>'Post Eval Input'!J22</f>
        <v>3</v>
      </c>
      <c r="Z30" s="660">
        <f>'Post Eval Input'!K22</f>
        <v>3</v>
      </c>
      <c r="AA30" s="661">
        <f>'Post Eval Input'!L22</f>
        <v>0</v>
      </c>
      <c r="AB30" s="662"/>
      <c r="AC30" s="666"/>
      <c r="AD30" s="666"/>
      <c r="AE30" s="664"/>
      <c r="AF30" s="665">
        <f>'Post Eval Input'!H24</f>
        <v>13</v>
      </c>
      <c r="AG30" s="779">
        <f>'Post Eval Input'!I24</f>
        <v>0</v>
      </c>
      <c r="AH30" s="660">
        <f>'Post Eval Input'!J24</f>
        <v>6</v>
      </c>
      <c r="AI30" s="660">
        <f>'Post Eval Input'!K24</f>
        <v>2</v>
      </c>
      <c r="AJ30" s="661">
        <f>'Post Eval Input'!L24</f>
        <v>0</v>
      </c>
      <c r="AK30" s="667"/>
      <c r="AL30" s="668"/>
      <c r="AM30" s="668"/>
      <c r="AN30" s="668"/>
      <c r="AO30" s="668"/>
      <c r="AP30" s="669"/>
      <c r="AQ30" s="670">
        <f>'Post-Eval B-C'!I21/1000</f>
        <v>2500</v>
      </c>
      <c r="AR30" s="671"/>
      <c r="AS30" s="672" t="str">
        <f>'Predicted B-C'!T48</f>
        <v>4.25 : 1</v>
      </c>
      <c r="AT30" s="673"/>
      <c r="AU30" s="674"/>
      <c r="AV30" s="675" t="str">
        <f>'Post-Eval B-C'!I29</f>
        <v>4.15 : 1</v>
      </c>
      <c r="AW30" s="676"/>
      <c r="AX30" s="593"/>
    </row>
    <row r="31" spans="2:50" ht="16.5" thickBot="1">
      <c r="B31" s="597"/>
      <c r="C31" s="657"/>
      <c r="D31" s="657"/>
      <c r="E31" s="657"/>
      <c r="F31" s="657"/>
      <c r="G31" s="657"/>
      <c r="H31" s="657"/>
      <c r="I31" s="657"/>
      <c r="J31" s="677"/>
      <c r="K31" s="677"/>
      <c r="L31" s="677"/>
      <c r="M31" s="678" t="s">
        <v>277</v>
      </c>
      <c r="N31" s="679">
        <f>SUM(N18:N29)</f>
        <v>27</v>
      </c>
      <c r="O31" s="679">
        <f>SUM(O18:O29)</f>
        <v>0</v>
      </c>
      <c r="P31" s="679">
        <f>SUM(P18:P29)</f>
        <v>14</v>
      </c>
      <c r="Q31" s="679">
        <f>SUM(Q18:Q29)</f>
        <v>4</v>
      </c>
      <c r="R31" s="680">
        <f>SUM(R18:R29)</f>
        <v>0</v>
      </c>
      <c r="S31" s="681"/>
      <c r="T31" s="682"/>
      <c r="U31" s="682"/>
      <c r="V31" s="683"/>
      <c r="W31" s="684">
        <f>SUM(W18:W29)</f>
        <v>11</v>
      </c>
      <c r="X31" s="684">
        <f>SUM(X18:X29)</f>
        <v>0</v>
      </c>
      <c r="Y31" s="679">
        <f>SUM(Y18:Y29)</f>
        <v>3</v>
      </c>
      <c r="Z31" s="679">
        <f>SUM(Z18:Z29)</f>
        <v>3</v>
      </c>
      <c r="AA31" s="680">
        <f>SUM(AA18:AA29)</f>
        <v>0</v>
      </c>
      <c r="AB31" s="681"/>
      <c r="AC31" s="685"/>
      <c r="AD31" s="685"/>
      <c r="AE31" s="683"/>
      <c r="AF31" s="684">
        <f>SUM(AF18:AF29)</f>
        <v>11</v>
      </c>
      <c r="AG31" s="780">
        <f>SUM(AG18:AG29)</f>
        <v>0</v>
      </c>
      <c r="AH31" s="679">
        <f>SUM(AH18:AH29)</f>
        <v>3</v>
      </c>
      <c r="AI31" s="679">
        <f>SUM(AI18:AI29)</f>
        <v>2</v>
      </c>
      <c r="AJ31" s="680">
        <f>SUM(AJ18:AJ29)</f>
        <v>0</v>
      </c>
      <c r="AK31" s="667"/>
      <c r="AL31" s="668"/>
      <c r="AM31" s="668"/>
      <c r="AN31" s="668"/>
      <c r="AO31" s="668"/>
      <c r="AP31" s="686">
        <f>SUM(AP18:AP29)</f>
        <v>2100</v>
      </c>
      <c r="AQ31" s="687"/>
      <c r="AR31" s="687"/>
      <c r="AS31" s="688">
        <f>'Post-Eval B-C'!F29</f>
        <v>0</v>
      </c>
      <c r="AT31" s="689"/>
      <c r="AU31" s="690"/>
      <c r="AV31" s="688"/>
      <c r="AW31" s="676"/>
      <c r="AX31" s="593"/>
    </row>
    <row r="32" spans="2:50" ht="12.75">
      <c r="B32" s="597"/>
      <c r="C32" s="657"/>
      <c r="D32" s="657"/>
      <c r="E32" s="657"/>
      <c r="F32" s="657"/>
      <c r="G32" s="657"/>
      <c r="H32" s="657"/>
      <c r="I32" s="657"/>
      <c r="J32" s="657"/>
      <c r="K32" s="657"/>
      <c r="L32" s="657"/>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57"/>
      <c r="AL32" s="657"/>
      <c r="AM32" s="657"/>
      <c r="AN32" s="657"/>
      <c r="AO32" s="657"/>
      <c r="AP32" s="657"/>
      <c r="AQ32" s="657"/>
      <c r="AR32" s="657"/>
      <c r="AS32" s="657"/>
      <c r="AT32" s="657"/>
      <c r="AU32" s="657"/>
      <c r="AV32" s="657"/>
      <c r="AW32" s="692"/>
      <c r="AX32" s="575"/>
    </row>
    <row r="33" spans="2:50" ht="13.5" thickBot="1">
      <c r="B33" s="693"/>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5"/>
      <c r="AR33" s="694"/>
      <c r="AS33" s="694"/>
      <c r="AT33" s="694"/>
      <c r="AU33" s="694"/>
      <c r="AV33" s="694"/>
      <c r="AW33" s="696"/>
      <c r="AX33" s="575"/>
    </row>
    <row r="34" spans="3:50" ht="12.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575"/>
      <c r="AM34" s="575"/>
      <c r="AN34" s="575"/>
      <c r="AO34" s="575"/>
      <c r="AP34" s="575"/>
      <c r="AQ34" s="576" t="s">
        <v>230</v>
      </c>
      <c r="AR34" s="582"/>
      <c r="AS34" s="575"/>
      <c r="AT34" s="582"/>
      <c r="AU34" s="575"/>
      <c r="AV34" s="575"/>
      <c r="AW34" s="575"/>
      <c r="AX34" s="575"/>
    </row>
    <row r="35" spans="3:50" ht="12.75">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t="s">
        <v>166</v>
      </c>
      <c r="AR35" s="697"/>
      <c r="AS35" s="575"/>
      <c r="AT35" s="697"/>
      <c r="AU35" s="575"/>
      <c r="AV35" s="575"/>
      <c r="AW35" s="575"/>
      <c r="AX35" s="575"/>
    </row>
    <row r="36" spans="3:50" ht="12.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575"/>
      <c r="AM36" s="575"/>
      <c r="AN36" s="575"/>
      <c r="AO36" s="575"/>
      <c r="AP36" s="575"/>
      <c r="AQ36" s="584" t="s">
        <v>162</v>
      </c>
      <c r="AR36" s="697"/>
      <c r="AS36" s="575"/>
      <c r="AT36" s="697"/>
      <c r="AU36" s="575"/>
      <c r="AV36" s="575"/>
      <c r="AW36" s="575"/>
      <c r="AX36" s="575"/>
    </row>
    <row r="37" spans="3:50" ht="12.7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698">
        <f>AQ30*AP18/AP31</f>
        <v>297.6190476190476</v>
      </c>
      <c r="AR37" s="697"/>
      <c r="AS37" s="575"/>
      <c r="AT37" s="697"/>
      <c r="AU37" s="575"/>
      <c r="AV37" s="575"/>
      <c r="AW37" s="575"/>
      <c r="AX37" s="575"/>
    </row>
    <row r="38" spans="3:46" ht="12.75">
      <c r="C38" s="699"/>
      <c r="E38" s="578"/>
      <c r="J38" s="575"/>
      <c r="K38" s="575"/>
      <c r="L38" s="575"/>
      <c r="M38" s="575"/>
      <c r="N38" s="575"/>
      <c r="O38" s="575"/>
      <c r="P38" s="575"/>
      <c r="Q38" s="575"/>
      <c r="R38" s="575"/>
      <c r="S38" s="575"/>
      <c r="T38" s="575"/>
      <c r="U38" s="575"/>
      <c r="V38" s="575"/>
      <c r="AQ38" s="698">
        <f>AQ30*AP21/AP31</f>
        <v>714.2857142857143</v>
      </c>
      <c r="AR38" s="697"/>
      <c r="AT38" s="697"/>
    </row>
    <row r="39" spans="10:43" ht="12.75">
      <c r="J39" s="575"/>
      <c r="K39" s="575"/>
      <c r="L39" s="575"/>
      <c r="M39" s="575"/>
      <c r="N39" s="575"/>
      <c r="O39" s="575"/>
      <c r="P39" s="575"/>
      <c r="Q39" s="575"/>
      <c r="R39" s="575"/>
      <c r="S39" s="575"/>
      <c r="T39" s="575"/>
      <c r="U39" s="575"/>
      <c r="V39" s="575"/>
      <c r="AQ39" s="698">
        <f>AQ30*AP24/AP31</f>
        <v>1488.095238095238</v>
      </c>
    </row>
    <row r="40" spans="12:43" ht="12.75">
      <c r="L40" s="575"/>
      <c r="M40" s="575"/>
      <c r="N40" s="575"/>
      <c r="O40" s="575"/>
      <c r="P40" s="575"/>
      <c r="Q40" s="575"/>
      <c r="R40" s="575"/>
      <c r="AQ40" s="700">
        <f>AQ30*AP27/AP31</f>
        <v>0</v>
      </c>
    </row>
    <row r="41" spans="12:43" ht="12.75">
      <c r="L41" s="575"/>
      <c r="M41" s="575"/>
      <c r="N41" s="575"/>
      <c r="O41" s="575"/>
      <c r="P41" s="575"/>
      <c r="Q41" s="575"/>
      <c r="R41" s="575"/>
      <c r="AQ41" s="734">
        <f>SUM(AQ37:AQ40)</f>
        <v>2500</v>
      </c>
    </row>
    <row r="42" ht="12.75">
      <c r="AQ42" s="576" t="s">
        <v>168</v>
      </c>
    </row>
    <row r="43" ht="12.75">
      <c r="AQ43" s="576" t="s">
        <v>167</v>
      </c>
    </row>
  </sheetData>
  <sheetProtection/>
  <mergeCells count="86">
    <mergeCell ref="G18:G29"/>
    <mergeCell ref="H16:H17"/>
    <mergeCell ref="H18:H29"/>
    <mergeCell ref="AS18:AS20"/>
    <mergeCell ref="AP18:AP20"/>
    <mergeCell ref="AQ27:AQ29"/>
    <mergeCell ref="I18:I20"/>
    <mergeCell ref="I21:I23"/>
    <mergeCell ref="I24:I26"/>
    <mergeCell ref="I27:I29"/>
    <mergeCell ref="J30:K30"/>
    <mergeCell ref="J27:J29"/>
    <mergeCell ref="K27:K29"/>
    <mergeCell ref="L27:L29"/>
    <mergeCell ref="AN18:AN29"/>
    <mergeCell ref="AO18:AO29"/>
    <mergeCell ref="J24:J26"/>
    <mergeCell ref="K24:K26"/>
    <mergeCell ref="L24:L26"/>
    <mergeCell ref="AL18:AL29"/>
    <mergeCell ref="AD18:AD29"/>
    <mergeCell ref="AP24:AP26"/>
    <mergeCell ref="AE18:AE29"/>
    <mergeCell ref="AS27:AS29"/>
    <mergeCell ref="AP27:AP29"/>
    <mergeCell ref="AQ18:AQ20"/>
    <mergeCell ref="AQ21:AQ23"/>
    <mergeCell ref="AQ24:AQ26"/>
    <mergeCell ref="AS24:AS26"/>
    <mergeCell ref="S18:S29"/>
    <mergeCell ref="U18:U29"/>
    <mergeCell ref="J21:J23"/>
    <mergeCell ref="K21:K23"/>
    <mergeCell ref="L21:L23"/>
    <mergeCell ref="AS21:AS23"/>
    <mergeCell ref="AP21:AP23"/>
    <mergeCell ref="T18:T29"/>
    <mergeCell ref="V18:V29"/>
    <mergeCell ref="AK18:AK29"/>
    <mergeCell ref="AB18:AB29"/>
    <mergeCell ref="AC18:AC29"/>
    <mergeCell ref="AM18:AM29"/>
    <mergeCell ref="C18:C29"/>
    <mergeCell ref="D18:D29"/>
    <mergeCell ref="E18:E29"/>
    <mergeCell ref="F18:F29"/>
    <mergeCell ref="J18:J20"/>
    <mergeCell ref="K18:K20"/>
    <mergeCell ref="L18:L20"/>
    <mergeCell ref="N15:AN15"/>
    <mergeCell ref="AP15:AQ15"/>
    <mergeCell ref="AP16:AQ16"/>
    <mergeCell ref="AR15:AS15"/>
    <mergeCell ref="AT15:AV15"/>
    <mergeCell ref="M16:M17"/>
    <mergeCell ref="N16:V16"/>
    <mergeCell ref="W16:AE16"/>
    <mergeCell ref="AF16:AN16"/>
    <mergeCell ref="J16:J17"/>
    <mergeCell ref="K16:K17"/>
    <mergeCell ref="L16:L17"/>
    <mergeCell ref="G16:G17"/>
    <mergeCell ref="C15:M15"/>
    <mergeCell ref="C16:C17"/>
    <mergeCell ref="D16:D17"/>
    <mergeCell ref="E16:E17"/>
    <mergeCell ref="F16:F17"/>
    <mergeCell ref="I16:I17"/>
    <mergeCell ref="C2:F2"/>
    <mergeCell ref="C3:D3"/>
    <mergeCell ref="E3:F3"/>
    <mergeCell ref="C6:F6"/>
    <mergeCell ref="C4:D4"/>
    <mergeCell ref="E4:F4"/>
    <mergeCell ref="E5:F5"/>
    <mergeCell ref="C5:D5"/>
    <mergeCell ref="C11:D11"/>
    <mergeCell ref="E8:F8"/>
    <mergeCell ref="C7:D7"/>
    <mergeCell ref="C8:D8"/>
    <mergeCell ref="C9:D9"/>
    <mergeCell ref="C10:D10"/>
    <mergeCell ref="E7:F7"/>
    <mergeCell ref="E9:F9"/>
    <mergeCell ref="E10:F10"/>
    <mergeCell ref="E11:F11"/>
  </mergeCells>
  <conditionalFormatting sqref="I27 G18:H29 I18 I21 I24">
    <cfRule type="cellIs" priority="1" dxfId="1" operator="equal" stopIfTrue="1">
      <formula>"""NO ENTRY"""</formula>
    </cfRule>
  </conditionalFormatting>
  <dataValidations count="2">
    <dataValidation type="list" showInputMessage="1" showErrorMessage="1" sqref="E5">
      <formula1>$N$4:$N$10</formula1>
    </dataValidation>
    <dataValidation type="list" showInputMessage="1" showErrorMessage="1" sqref="E4">
      <formula1>$N$2:$N$3</formula1>
    </dataValidation>
  </dataValidations>
  <printOptions/>
  <pageMargins left="0.5" right="0.25" top="0.75" bottom="1" header="0.5" footer="0.5"/>
  <pageSetup fitToHeight="1" fitToWidth="1" horizontalDpi="600" verticalDpi="600" orientation="landscape" paperSize="17" scale="48" r:id="rId4"/>
  <colBreaks count="2" manualBreakCount="2">
    <brk id="49" min="12" max="44" man="1"/>
    <brk id="50"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DOT/PF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KurtS</dc:creator>
  <cp:keywords/>
  <dc:description/>
  <cp:lastModifiedBy>Walker, Matthew I (DOT)</cp:lastModifiedBy>
  <cp:lastPrinted>2022-04-15T19:36:59Z</cp:lastPrinted>
  <dcterms:created xsi:type="dcterms:W3CDTF">1997-09-18T21:38:01Z</dcterms:created>
  <dcterms:modified xsi:type="dcterms:W3CDTF">2022-04-15T19:37:39Z</dcterms:modified>
  <cp:category/>
  <cp:version/>
  <cp:contentType/>
  <cp:contentStatus/>
</cp:coreProperties>
</file>