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L:\HighwayDesignMasters\DesignGuidance\Guardrail\LON_Calculations\"/>
    </mc:Choice>
  </mc:AlternateContent>
  <xr:revisionPtr revIDLastSave="0" documentId="13_ncr:1_{FD9D9084-1890-46E8-8A90-56F244449EEB}" xr6:coauthVersionLast="47" xr6:coauthVersionMax="47" xr10:uidLastSave="{00000000-0000-0000-0000-000000000000}"/>
  <bookViews>
    <workbookView xWindow="-120" yWindow="-120" windowWidth="29040" windowHeight="15840" activeTab="3" xr2:uid="{00000000-000D-0000-FFFF-FFFF00000000}"/>
  </bookViews>
  <sheets>
    <sheet name="READ ME FIRST" sheetId="4" r:id="rId1"/>
    <sheet name="Definitions" sheetId="6" r:id="rId2"/>
    <sheet name="Guardrail Summary" sheetId="12" r:id="rId3"/>
    <sheet name="US Customary Calculations" sheetId="11" r:id="rId4"/>
    <sheet name="USCust RDG 2011" sheetId="2" r:id="rId5"/>
  </sheets>
  <definedNames>
    <definedName name="ADT">'USCust RDG 2011'!$I$29:$I$37</definedName>
    <definedName name="Definitions">Definitions!$B$11</definedName>
    <definedName name="EClear20">'USCust RDG 2011'!$C$43:$E$49</definedName>
    <definedName name="EClear30">'USCust RDG 2011'!$C$50:$E$56</definedName>
    <definedName name="EClear35">'USCust RDG 2011'!$C$57:$E$63</definedName>
    <definedName name="EClear40">'USCust RDG 2011'!$C$64:$E$70</definedName>
    <definedName name="EClear50">'USCust RDG 2011'!$C$71:$E$77</definedName>
    <definedName name="EClear55">'USCust RDG 2011'!$C$78:$E$84</definedName>
    <definedName name="EClear60">'USCust RDG 2011'!$C$85:$E$91</definedName>
    <definedName name="EClear70">'USCust RDG 2011'!$C$92:$E$98</definedName>
    <definedName name="ECurve">'USCust RDG 2011'!$C$105:$N$105</definedName>
    <definedName name="ECurveCorrection">'USCust RDG 2011'!$B$107:$N$116</definedName>
    <definedName name="ECurves">'USCust RDG 2011'!$C$105:$N$106</definedName>
    <definedName name="EFlare">'USCust RDG 2011'!$B$27:$E$35</definedName>
    <definedName name="ERunout">'USCust RDG 2011'!$G$7:$K$19</definedName>
    <definedName name="EShy">'USCust RDG 2011'!$B$5:$E$13</definedName>
    <definedName name="EShyLine">'USCust RDG 2011'!$B$6:$C$17</definedName>
    <definedName name="ESpeed">'USCust RDG 2011'!$H$24:$H$36</definedName>
    <definedName name="ETerminals">'USCust RDG 2011'!$M$24:$M$27</definedName>
    <definedName name="ETransitions">'USCust RDG 2011'!$L$24:$L$30</definedName>
    <definedName name="FillSlope">'USCust RDG 2011'!$J$24:$J$25</definedName>
    <definedName name="Hints">'READ ME FIRST'!$A$8</definedName>
    <definedName name="MClear100" localSheetId="2">#REF!</definedName>
    <definedName name="MClear100">#REF!</definedName>
    <definedName name="MClear110" localSheetId="2">#REF!</definedName>
    <definedName name="MClear110">#REF!</definedName>
    <definedName name="MClear30" localSheetId="2">#REF!</definedName>
    <definedName name="MClear30">#REF!</definedName>
    <definedName name="MClear50" localSheetId="2">#REF!</definedName>
    <definedName name="MClear50">#REF!</definedName>
    <definedName name="MClear55" localSheetId="2">#REF!</definedName>
    <definedName name="MClear55">#REF!</definedName>
    <definedName name="MClear60" localSheetId="2">#REF!</definedName>
    <definedName name="MClear60">#REF!</definedName>
    <definedName name="MClear80" localSheetId="2">#REF!</definedName>
    <definedName name="MClear80">#REF!</definedName>
    <definedName name="MClear90" localSheetId="2">#REF!</definedName>
    <definedName name="MClear90">#REF!</definedName>
    <definedName name="MCurve" localSheetId="2">#REF!</definedName>
    <definedName name="MCurve">#REF!</definedName>
    <definedName name="MCurveCorrection" localSheetId="2">#REF!</definedName>
    <definedName name="MCurveCorrection">#REF!</definedName>
    <definedName name="MCurves" localSheetId="2">#REF!</definedName>
    <definedName name="MCurves">#REF!</definedName>
    <definedName name="MFlare" localSheetId="2">#REF!</definedName>
    <definedName name="MFlare">#REF!</definedName>
    <definedName name="MRunout" localSheetId="2">#REF!</definedName>
    <definedName name="MRunout">#REF!</definedName>
    <definedName name="MShyLine" localSheetId="2">#REF!</definedName>
    <definedName name="MShyLine">#REF!</definedName>
    <definedName name="MSpeed" localSheetId="2">#REF!</definedName>
    <definedName name="MSpeed">#REF!</definedName>
    <definedName name="MTerminal" localSheetId="2">#REF!</definedName>
    <definedName name="MTerminal">#REF!</definedName>
    <definedName name="MTransition" localSheetId="2">#REF!</definedName>
    <definedName name="MTransition">#REF!</definedName>
    <definedName name="Option">'USCust RDG 2011'!$E$3:$E$4</definedName>
    <definedName name="_xlnm.Print_Area" localSheetId="1">Definitions!$A$1:$B$21</definedName>
    <definedName name="_xlnm.Print_Area" localSheetId="3">'US Customary Calculations'!$A$1:$P$72</definedName>
    <definedName name="_xlnm.Print_Area" localSheetId="4">'USCust RDG 2011'!$A$1:$N$116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 i="11" l="1"/>
  <c r="K6" i="11"/>
  <c r="O70" i="11" l="1"/>
  <c r="G34" i="12" l="1"/>
  <c r="D15" i="12" l="1"/>
  <c r="A2" i="12"/>
  <c r="A1" i="12"/>
  <c r="N9" i="11" l="1"/>
  <c r="J2" i="11"/>
  <c r="J1" i="11"/>
  <c r="M28" i="11"/>
  <c r="N28" i="11" s="1"/>
  <c r="E28" i="11"/>
  <c r="F28" i="11" s="1"/>
  <c r="M9" i="11" l="1"/>
  <c r="M8" i="11"/>
  <c r="B69" i="11"/>
  <c r="J69" i="11" l="1"/>
  <c r="K25" i="11" l="1"/>
  <c r="M19" i="11" l="1"/>
  <c r="L20" i="11"/>
  <c r="L19" i="11"/>
  <c r="E19" i="11"/>
  <c r="D20" i="11"/>
  <c r="D19" i="11"/>
  <c r="D24" i="11"/>
  <c r="E24" i="11"/>
  <c r="J18" i="11"/>
  <c r="L18" i="11"/>
  <c r="J24" i="11"/>
  <c r="B24" i="11"/>
  <c r="B18" i="11"/>
  <c r="D18" i="11" l="1"/>
  <c r="J40" i="11"/>
  <c r="J35" i="11"/>
  <c r="J31" i="11"/>
  <c r="D69" i="11"/>
  <c r="J68" i="11"/>
  <c r="B68" i="11"/>
  <c r="J29" i="11"/>
  <c r="B29" i="11"/>
  <c r="F29" i="11"/>
  <c r="L25" i="11"/>
  <c r="K26" i="11"/>
  <c r="D25" i="11"/>
  <c r="C26" i="11"/>
  <c r="M24" i="11"/>
  <c r="L24" i="11"/>
  <c r="J25" i="11"/>
  <c r="B25" i="11"/>
  <c r="L23" i="11"/>
  <c r="J23" i="11"/>
  <c r="D23" i="11"/>
  <c r="B23" i="11"/>
  <c r="N22" i="11"/>
  <c r="F22" i="11"/>
  <c r="F9" i="11"/>
  <c r="E9" i="11"/>
  <c r="F8" i="11"/>
  <c r="E8" i="11"/>
  <c r="F7" i="11"/>
  <c r="N7" i="11" s="1"/>
  <c r="F6" i="11"/>
  <c r="N6" i="11" s="1"/>
  <c r="A2" i="11"/>
  <c r="A1" i="11"/>
  <c r="A2" i="6"/>
  <c r="A1" i="6"/>
  <c r="N8" i="11" l="1"/>
  <c r="M20" i="11"/>
  <c r="E20" i="11"/>
  <c r="M25" i="11"/>
  <c r="C25" i="11"/>
  <c r="N29" i="11"/>
  <c r="E25" i="11"/>
  <c r="N13" i="11" l="1"/>
  <c r="M36" i="11" s="1"/>
  <c r="F13" i="11"/>
  <c r="E32" i="11" s="1"/>
  <c r="E42" i="11"/>
  <c r="M41" i="11"/>
  <c r="M42" i="11"/>
  <c r="M33" i="11" l="1"/>
  <c r="M32" i="11"/>
  <c r="M37" i="11"/>
  <c r="O36" i="11" s="1"/>
  <c r="P36" i="11" s="1"/>
  <c r="E37" i="11"/>
  <c r="E36" i="11"/>
  <c r="E33" i="11"/>
  <c r="E41" i="11"/>
  <c r="G41" i="11" s="1"/>
  <c r="H41" i="11" s="1"/>
  <c r="O41" i="11"/>
  <c r="P41" i="11" s="1"/>
  <c r="M44" i="11" l="1"/>
  <c r="O32" i="11"/>
  <c r="G32" i="11"/>
  <c r="H32" i="11" s="1"/>
  <c r="G36" i="11"/>
  <c r="H36" i="11" s="1"/>
  <c r="E44" i="11"/>
  <c r="G70" i="11"/>
  <c r="G24" i="12" s="1"/>
  <c r="O69" i="11" l="1"/>
  <c r="G29" i="12" s="1"/>
  <c r="P32" i="11"/>
  <c r="G30" i="12"/>
  <c r="G39" i="12" s="1"/>
  <c r="G69" i="11"/>
  <c r="G23"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Post, Chris L (DOT)</author>
  </authors>
  <commentList>
    <comment ref="G34" authorId="0" shapeId="0" xr:uid="{00000000-0006-0000-0200-000001000000}">
      <text>
        <r>
          <rPr>
            <b/>
            <sz val="9"/>
            <color indexed="81"/>
            <rFont val="Tahoma"/>
            <family val="2"/>
          </rPr>
          <t>Post, Chris L (DOT):</t>
        </r>
        <r>
          <rPr>
            <sz val="9"/>
            <color indexed="81"/>
            <rFont val="Tahoma"/>
            <family val="2"/>
          </rPr>
          <t xml:space="preserve">
Width of Obstacle is rounded up to the nearest 12.5' length
</t>
        </r>
      </text>
    </comment>
    <comment ref="G39" authorId="0" shapeId="0" xr:uid="{00000000-0006-0000-0200-000002000000}">
      <text>
        <r>
          <rPr>
            <b/>
            <sz val="9"/>
            <color indexed="81"/>
            <rFont val="Tahoma"/>
            <family val="2"/>
          </rPr>
          <t>Post, Chris L (DOT):</t>
        </r>
        <r>
          <rPr>
            <sz val="9"/>
            <color indexed="81"/>
            <rFont val="Tahoma"/>
            <family val="2"/>
          </rPr>
          <t xml:space="preserve">
This will be the pay item amount needed for this segment of guardrail.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Post, Chris L (DOT)</author>
  </authors>
  <commentList>
    <comment ref="C18" authorId="0" shapeId="0" xr:uid="{00000000-0006-0000-0300-000001000000}">
      <text>
        <r>
          <rPr>
            <b/>
            <sz val="9"/>
            <color indexed="81"/>
            <rFont val="Tahoma"/>
            <family val="2"/>
          </rPr>
          <t>Post, Chris L (DOT):1.5' is for Parallel End Terminals - this value will be greater for buried-in-backslope installs which must be hand calculated using ASP G-16 as a guide.</t>
        </r>
      </text>
    </comment>
  </commentList>
</comments>
</file>

<file path=xl/sharedStrings.xml><?xml version="1.0" encoding="utf-8"?>
<sst xmlns="http://schemas.openxmlformats.org/spreadsheetml/2006/main" count="261" uniqueCount="166">
  <si>
    <t>Design Speed</t>
  </si>
  <si>
    <t>(mph)</t>
  </si>
  <si>
    <t>Shy Line Offset, Ls</t>
  </si>
  <si>
    <t>(ft)</t>
  </si>
  <si>
    <t>rigid system</t>
  </si>
  <si>
    <t>Inside Shy Line</t>
  </si>
  <si>
    <t>Beyond Shy Line</t>
  </si>
  <si>
    <t>Traffic Volume (ADT)</t>
  </si>
  <si>
    <t>Runout Length, Lr (ft)</t>
  </si>
  <si>
    <t>a</t>
  </si>
  <si>
    <t>Design ADT</t>
  </si>
  <si>
    <t>Fill Slopes</t>
  </si>
  <si>
    <t>Cut Slopes</t>
  </si>
  <si>
    <t>45-50 mph</t>
  </si>
  <si>
    <t>semi-rigid</t>
  </si>
  <si>
    <t>55 mph</t>
  </si>
  <si>
    <t>60 mph</t>
  </si>
  <si>
    <t>65-70 mph</t>
  </si>
  <si>
    <t>X =</t>
  </si>
  <si>
    <t>Y =</t>
  </si>
  <si>
    <t>(b/a) + (Lh/Lr)</t>
  </si>
  <si>
    <t>Lh - X(Lh/Lr)</t>
  </si>
  <si>
    <t>Lh  - L2</t>
  </si>
  <si>
    <t>(Lh/Lr)</t>
  </si>
  <si>
    <t>ADT</t>
  </si>
  <si>
    <t>Ls</t>
  </si>
  <si>
    <t>Lr</t>
  </si>
  <si>
    <t>mph</t>
  </si>
  <si>
    <t>Fill Slope</t>
  </si>
  <si>
    <t>Lh</t>
  </si>
  <si>
    <t>=</t>
  </si>
  <si>
    <t>Radius (ft)</t>
  </si>
  <si>
    <t>Design Speed (mph)</t>
  </si>
  <si>
    <t>Givens</t>
  </si>
  <si>
    <t>LookUps</t>
  </si>
  <si>
    <t>Runout Length</t>
  </si>
  <si>
    <t>Shy Distance</t>
  </si>
  <si>
    <t>Clear Zone</t>
  </si>
  <si>
    <t>Lh is the smaller of La or Lc</t>
  </si>
  <si>
    <t>HINTS</t>
  </si>
  <si>
    <t>ADT  (&lt;=)</t>
  </si>
  <si>
    <t>&lt;20 mph</t>
  </si>
  <si>
    <t>25-30 mph</t>
  </si>
  <si>
    <t>35 mph</t>
  </si>
  <si>
    <t>40 mph</t>
  </si>
  <si>
    <t>Yes</t>
  </si>
  <si>
    <t>No</t>
  </si>
  <si>
    <t>Flared</t>
  </si>
  <si>
    <t>Terminal Length</t>
  </si>
  <si>
    <t>Transition</t>
  </si>
  <si>
    <t>Terminal</t>
  </si>
  <si>
    <t>Parallel</t>
  </si>
  <si>
    <t>Guardrail Length</t>
  </si>
  <si>
    <t>On Outside Curve?</t>
  </si>
  <si>
    <t>Connect to Structure?</t>
  </si>
  <si>
    <t>1. Green cells are user data entry cells with drop-down boxes or text entry.</t>
  </si>
  <si>
    <t>2. Other colored cells are calculating cells.</t>
  </si>
  <si>
    <t>4. Bridge rail that can be included in the LON is the length from the top of the embankment or the edge of the water or hazard, whichever is closest.</t>
  </si>
  <si>
    <t>Over 10000</t>
  </si>
  <si>
    <t>1000-5000</t>
  </si>
  <si>
    <t>under 1000</t>
  </si>
  <si>
    <t>10000+</t>
  </si>
  <si>
    <t>Definitions:</t>
  </si>
  <si>
    <t>a:b</t>
  </si>
  <si>
    <r>
      <t xml:space="preserve">The lateral distance from the edge of the traveled way to the </t>
    </r>
    <r>
      <rPr>
        <u/>
        <sz val="11"/>
        <rFont val="Arial"/>
        <family val="2"/>
      </rPr>
      <t>far side</t>
    </r>
    <r>
      <rPr>
        <sz val="11"/>
        <rFont val="Arial"/>
        <family val="2"/>
      </rPr>
      <t xml:space="preserve"> of the fixed object or hazard.</t>
    </r>
  </si>
  <si>
    <r>
      <t xml:space="preserve">The lateral distance from the edge of the traveled way to the </t>
    </r>
    <r>
      <rPr>
        <u/>
        <sz val="11"/>
        <rFont val="Arial"/>
        <family val="2"/>
      </rPr>
      <t>front edge</t>
    </r>
    <r>
      <rPr>
        <sz val="11"/>
        <rFont val="Arial"/>
        <family val="2"/>
      </rPr>
      <t xml:space="preserve"> of the hazard.</t>
    </r>
  </si>
  <si>
    <r>
      <t>L</t>
    </r>
    <r>
      <rPr>
        <b/>
        <vertAlign val="subscript"/>
        <sz val="12"/>
        <rFont val="Arial"/>
        <family val="2"/>
      </rPr>
      <t>A</t>
    </r>
    <r>
      <rPr>
        <b/>
        <sz val="12"/>
        <rFont val="Arial"/>
        <family val="2"/>
      </rPr>
      <t>:</t>
    </r>
  </si>
  <si>
    <r>
      <t>L</t>
    </r>
    <r>
      <rPr>
        <b/>
        <vertAlign val="subscript"/>
        <sz val="12"/>
        <rFont val="Arial"/>
        <family val="2"/>
      </rPr>
      <t>C</t>
    </r>
    <r>
      <rPr>
        <b/>
        <sz val="12"/>
        <rFont val="Arial"/>
        <family val="2"/>
      </rPr>
      <t>:</t>
    </r>
  </si>
  <si>
    <r>
      <t>L</t>
    </r>
    <r>
      <rPr>
        <b/>
        <vertAlign val="subscript"/>
        <sz val="12"/>
        <rFont val="Arial"/>
        <family val="2"/>
      </rPr>
      <t>3</t>
    </r>
    <r>
      <rPr>
        <b/>
        <sz val="12"/>
        <rFont val="Arial"/>
        <family val="2"/>
      </rPr>
      <t>:</t>
    </r>
  </si>
  <si>
    <r>
      <t>L</t>
    </r>
    <r>
      <rPr>
        <b/>
        <vertAlign val="subscript"/>
        <sz val="12"/>
        <rFont val="Arial"/>
        <family val="2"/>
      </rPr>
      <t>2</t>
    </r>
    <r>
      <rPr>
        <b/>
        <sz val="12"/>
        <rFont val="Arial"/>
        <family val="2"/>
      </rPr>
      <t>:</t>
    </r>
  </si>
  <si>
    <r>
      <t>L</t>
    </r>
    <r>
      <rPr>
        <b/>
        <vertAlign val="subscript"/>
        <sz val="12"/>
        <rFont val="Arial"/>
        <family val="2"/>
      </rPr>
      <t>R</t>
    </r>
    <r>
      <rPr>
        <b/>
        <sz val="12"/>
        <rFont val="Arial"/>
        <family val="2"/>
      </rPr>
      <t>:</t>
    </r>
  </si>
  <si>
    <r>
      <t>L</t>
    </r>
    <r>
      <rPr>
        <b/>
        <vertAlign val="subscript"/>
        <sz val="12"/>
        <rFont val="Arial"/>
        <family val="2"/>
      </rPr>
      <t>S</t>
    </r>
    <r>
      <rPr>
        <b/>
        <sz val="12"/>
        <rFont val="Arial"/>
        <family val="2"/>
      </rPr>
      <t>:</t>
    </r>
  </si>
  <si>
    <r>
      <t>L</t>
    </r>
    <r>
      <rPr>
        <b/>
        <vertAlign val="subscript"/>
        <sz val="12"/>
        <rFont val="Arial"/>
        <family val="2"/>
      </rPr>
      <t>1</t>
    </r>
    <r>
      <rPr>
        <b/>
        <sz val="12"/>
        <rFont val="Arial"/>
        <family val="2"/>
      </rPr>
      <t>:</t>
    </r>
  </si>
  <si>
    <t>The runout length, measured longitudinally from the upstream extent of the hazard along the edge of roadway to the point where a vehicle is assumed to leave the roadway. (See RDG Table 5-10 and FLHBG Table 4.1.)</t>
  </si>
  <si>
    <r>
      <t>The clear zone width, measured from the edge of the traveled way.  L</t>
    </r>
    <r>
      <rPr>
        <vertAlign val="subscript"/>
        <sz val="11"/>
        <rFont val="Arial"/>
        <family val="2"/>
      </rPr>
      <t>C</t>
    </r>
    <r>
      <rPr>
        <sz val="11"/>
        <rFont val="Arial"/>
        <family val="2"/>
      </rPr>
      <t xml:space="preserve"> serves as a check on L</t>
    </r>
    <r>
      <rPr>
        <vertAlign val="subscript"/>
        <sz val="11"/>
        <rFont val="Arial"/>
        <family val="2"/>
      </rPr>
      <t>A</t>
    </r>
    <r>
      <rPr>
        <sz val="11"/>
        <rFont val="Arial"/>
        <family val="2"/>
      </rPr>
      <t>.  *It is not necessary to shield a hazard beyond the clear zone, so L</t>
    </r>
    <r>
      <rPr>
        <vertAlign val="subscript"/>
        <sz val="11"/>
        <rFont val="Arial"/>
        <family val="2"/>
      </rPr>
      <t>A</t>
    </r>
    <r>
      <rPr>
        <sz val="11"/>
        <rFont val="Arial"/>
        <family val="2"/>
      </rPr>
      <t xml:space="preserve"> does not have to be greater than L</t>
    </r>
    <r>
      <rPr>
        <vertAlign val="subscript"/>
        <sz val="11"/>
        <rFont val="Arial"/>
        <family val="2"/>
      </rPr>
      <t>C</t>
    </r>
    <r>
      <rPr>
        <sz val="11"/>
        <rFont val="Arial"/>
        <family val="2"/>
      </rPr>
      <t>. (See RDG Table 3-1 and FLHBG Table 2.1.)</t>
    </r>
  </si>
  <si>
    <r>
      <t xml:space="preserve">If the barrier is placed on a flare, the flare is described as a:b. The flare a:b is in the standard section of the barrier and is </t>
    </r>
    <r>
      <rPr>
        <u/>
        <sz val="11"/>
        <rFont val="Arial"/>
        <family val="2"/>
      </rPr>
      <t>not</t>
    </r>
    <r>
      <rPr>
        <sz val="11"/>
        <rFont val="Arial"/>
        <family val="2"/>
      </rPr>
      <t xml:space="preserve"> related to any flare that may be required for an end treatment. A flatter flare is suggested when a barrier is located within the shy-line offset distance. (See RDG Table 5-9 and FLHBG Table 4.3.)</t>
    </r>
  </si>
  <si>
    <t>5. Clear Zone had to be split into two formulas (and cells) due to limitations within Excel for the number of layers within a formula.</t>
  </si>
  <si>
    <t>Suggested Shy Line Offset</t>
  </si>
  <si>
    <t>RDG T5-7 &amp; FLHBG T4.2</t>
  </si>
  <si>
    <t>Suggested Runout Lengths</t>
  </si>
  <si>
    <t>Suggested Flare Rates, a:b where b=1</t>
  </si>
  <si>
    <t>RDG T5-9 &amp; FLHBG T4.3</t>
  </si>
  <si>
    <t>Curve Correction</t>
  </si>
  <si>
    <t>The shy-line offset distance beyond which a roadside object will not be perceived as an obstacle and result in a motorist's reducing speed or changing vehicle position on the roadway. A shy-line offset should be provided if possible, but is not always needed on low volume roads. (See RDG Table 5-7 and FLHBG Table 4.2.)</t>
  </si>
  <si>
    <r>
      <t>The offset of the roadside barrier measured from the edge of the traveled way to the front face of the barrier, and is generally the shoulder width plus any extra widening for the guardrail. L</t>
    </r>
    <r>
      <rPr>
        <vertAlign val="subscript"/>
        <sz val="11"/>
        <rFont val="Arial"/>
        <family val="2"/>
      </rPr>
      <t>2</t>
    </r>
    <r>
      <rPr>
        <sz val="11"/>
        <rFont val="Arial"/>
        <family val="2"/>
      </rPr>
      <t xml:space="preserve"> should be greater than the L</t>
    </r>
    <r>
      <rPr>
        <vertAlign val="subscript"/>
        <sz val="11"/>
        <rFont val="Arial"/>
        <family val="2"/>
      </rPr>
      <t>S</t>
    </r>
    <r>
      <rPr>
        <sz val="11"/>
        <rFont val="Arial"/>
        <family val="2"/>
      </rPr>
      <t xml:space="preserve"> shy-line offset, but that may not always be practical for short, isolated installations.</t>
    </r>
  </si>
  <si>
    <r>
      <t>If a flare in the standard section is used, L</t>
    </r>
    <r>
      <rPr>
        <vertAlign val="subscript"/>
        <sz val="11"/>
        <rFont val="Arial"/>
        <family val="2"/>
      </rPr>
      <t>1</t>
    </r>
    <r>
      <rPr>
        <sz val="11"/>
        <rFont val="Arial"/>
        <family val="2"/>
      </rPr>
      <t xml:space="preserve"> is the tangent length of the barrier measured from the upstream limit of the hazard and defines the beginning point of the flare.</t>
    </r>
  </si>
  <si>
    <t>RDG T3-2 &amp; FLHBG T2.2</t>
  </si>
  <si>
    <t>US CUSTOMARY</t>
  </si>
  <si>
    <t>See Definitions for more information.</t>
  </si>
  <si>
    <t>REMEMBER</t>
  </si>
  <si>
    <t>Calculate Length of Need for adjacent approaching traffic.</t>
  </si>
  <si>
    <t>Calculate Length of Need for opposing traffic.</t>
  </si>
  <si>
    <t>Contract Amount for Approach Guardrail</t>
  </si>
  <si>
    <t>Contract Amount for Opposing Guardrail</t>
  </si>
  <si>
    <t>L2 (from ETW right, ft)</t>
  </si>
  <si>
    <t>L2 (from ETW left, ft)</t>
  </si>
  <si>
    <t>Contract Amount for In-between Guardrail</t>
  </si>
  <si>
    <t>The FLH Barrier Guide for Low Volume and Low Speed Roads is available within each FLH Division Office and on-line at:</t>
  </si>
  <si>
    <t>Determine barrier that is in-between approaching and opposing traffic ends.</t>
  </si>
  <si>
    <t>Add together these lengths for overall contract length of guardrail installation.</t>
  </si>
  <si>
    <t>Hints</t>
  </si>
  <si>
    <t>1V:5H to 1V:4H</t>
  </si>
  <si>
    <t>1V:6H or flatter</t>
  </si>
  <si>
    <t>1V:3H</t>
  </si>
  <si>
    <t>X:</t>
  </si>
  <si>
    <t>Y:</t>
  </si>
  <si>
    <t>Use Terminal</t>
  </si>
  <si>
    <t>La (ft)</t>
  </si>
  <si>
    <t>Length (ft)</t>
  </si>
  <si>
    <t xml:space="preserve">Includes FLH Barrier Guide 2005 (FLHBG) </t>
  </si>
  <si>
    <t>https://flh.fhwa.dot.gov/resources/design/safety.htm</t>
  </si>
  <si>
    <t>MASH terminal LONs are NOT included at this time.</t>
  </si>
  <si>
    <t>FHWA Edition: June 26, 2018</t>
  </si>
  <si>
    <t>P:</t>
  </si>
  <si>
    <t xml:space="preserve">The parabolic offset, obtained from  HPCM Figure 1130-4a.  Use of the parabolic offset is covered in the RDG under Section 5.6.4, pg 5-51.  In Central Region, we use a 50' parallel end terminal with a 2' end offset (25:1).    </t>
  </si>
  <si>
    <t>The AASHTO Roadside Design Guide 2011</t>
  </si>
  <si>
    <t>LON for Tangent + Parabola</t>
  </si>
  <si>
    <t>LON for Tangent + Flare + Parabola</t>
  </si>
  <si>
    <t>LON for Tangent</t>
  </si>
  <si>
    <t>Lh + (b/a)L1 - L2 -a(P)/(sqrt(a2+b2))</t>
  </si>
  <si>
    <t>Lh - L2 - P</t>
  </si>
  <si>
    <t>HPCM T1130-11 &amp; FLHBG T4.1</t>
  </si>
  <si>
    <t>Data from HPCM and FLHBG (updated for 2011)</t>
  </si>
  <si>
    <t>Values are from Table 5-10b of the 2011 RDG, except values for 35, 45, 55, 55, and 65 mph are interpolated.</t>
  </si>
  <si>
    <t>Values for 20 &amp; 25 mph are taken from FLHBG</t>
  </si>
  <si>
    <t>HPCM T1130-2 &amp; RDG T3-1 &amp; FLHBG T2.1</t>
  </si>
  <si>
    <t>Clear Zone Distances (ft from edge of driving lane)*</t>
  </si>
  <si>
    <t>Parabolic Flare?</t>
  </si>
  <si>
    <t>Data from DOT&amp;PF HPCM, RDG 2011 and FLHBG</t>
  </si>
  <si>
    <t>* Clear zones in this table are limited to 30 feet for practicality and economy.  Consider increasing the clear zone where a specific site investigation or engineering judgment indicate that an area has a higher probablity of crashes and high severity conidtions are present beyond 30 feet.  Figure 3-1 of the RDG 2011 provide guidance for increased zones.</t>
  </si>
  <si>
    <t>DOT&amp;PF Highway Preconstruction Manual, current edition (6/19)</t>
  </si>
  <si>
    <r>
      <t xml:space="preserve">The lateral offset of the end of the LON for when the barrier system has a flare. </t>
    </r>
    <r>
      <rPr>
        <u/>
        <sz val="11"/>
        <rFont val="Arial"/>
        <family val="2"/>
      </rPr>
      <t>NOTE</t>
    </r>
    <r>
      <rPr>
        <sz val="11"/>
        <rFont val="Arial"/>
        <family val="2"/>
      </rPr>
      <t xml:space="preserve">: this is </t>
    </r>
    <r>
      <rPr>
        <b/>
        <sz val="11"/>
        <rFont val="Arial"/>
        <family val="2"/>
      </rPr>
      <t>NOT</t>
    </r>
    <r>
      <rPr>
        <sz val="11"/>
        <rFont val="Arial"/>
        <family val="2"/>
      </rPr>
      <t xml:space="preserve"> the same as a flare associated with a terminal.</t>
    </r>
  </si>
  <si>
    <t>COMMENTS &amp; QUESTIONS</t>
  </si>
  <si>
    <t xml:space="preserve">Contact: Chris Post, P.E., Central Region Standards Engineer </t>
  </si>
  <si>
    <t>chris.post@alaska.gov</t>
  </si>
  <si>
    <r>
      <t xml:space="preserve">Approaching Traffic LON </t>
    </r>
    <r>
      <rPr>
        <b/>
        <i/>
        <sz val="14"/>
        <rFont val="Arial"/>
        <family val="2"/>
      </rPr>
      <t>(measured from the right side of vehicle, or ETW)</t>
    </r>
  </si>
  <si>
    <r>
      <t xml:space="preserve">Opposing Traffic LON </t>
    </r>
    <r>
      <rPr>
        <b/>
        <i/>
        <sz val="14"/>
        <rFont val="Arial"/>
        <family val="2"/>
      </rPr>
      <t>(measured from the left side of vehicle, or centerline)</t>
    </r>
  </si>
  <si>
    <t>3. The LON includes bridge rail transitions, some of the bridge rail length, and all of a terminal except for the two sections before the very end (usually around 12.5').</t>
  </si>
  <si>
    <t>Contract Amount for Guardrail Run</t>
  </si>
  <si>
    <t>Guardrail Summary Sheet</t>
  </si>
  <si>
    <t>Project Name:</t>
  </si>
  <si>
    <t>Project/Program Number(s):</t>
  </si>
  <si>
    <t>Station Range:</t>
  </si>
  <si>
    <t>System + Parabolic Flare?</t>
  </si>
  <si>
    <t>Parallel or Flared:</t>
  </si>
  <si>
    <t>to</t>
  </si>
  <si>
    <t>Width of Obstacle:</t>
  </si>
  <si>
    <t>Total guardrail required to shield obstacle (LF)</t>
  </si>
  <si>
    <t>Project</t>
  </si>
  <si>
    <t>XXXXXXXX/CFHWYXXXXX</t>
  </si>
  <si>
    <t>The Length of Need (LON) is the total length of a longitudinal barrier needed upstream to shield an area of concern. The LON point for a given system is usually confirmed by successfully passing a redirection crash test with impact at the LON point.</t>
  </si>
  <si>
    <t>Not to be printed - provided as Design Information</t>
  </si>
  <si>
    <t xml:space="preserve">1. Start with  calculated LON (X) from above </t>
  </si>
  <si>
    <t>2. Substract out Terminal Length allowed to be included as LON (typically 37.5')</t>
  </si>
  <si>
    <t>3. Convert value to 12.5' equivalent lengths (i.e. sticks of guardrail)</t>
  </si>
  <si>
    <t>4. Round up the number of guardrail sticks to a whole number</t>
  </si>
  <si>
    <t>5. Multiplied by 12.5'</t>
  </si>
  <si>
    <t>End result is the total length of guardrail need for Approach/Opposing guardrail</t>
  </si>
  <si>
    <t>Guardrail Length Calculation Equation:</t>
  </si>
  <si>
    <t>Pay Item Amount for Approach Guardrail</t>
  </si>
  <si>
    <t>Pay Item Amount for Opposing Guardrail</t>
  </si>
  <si>
    <t>Width of Obstacle</t>
  </si>
  <si>
    <t>Pay Item Amount of Guardrail = Roundup ((X - (Terminal Length - 12.5')) / 12.5'), 0) * 12.5'</t>
  </si>
  <si>
    <t>5001-10000</t>
  </si>
  <si>
    <t>907.269.7885</t>
  </si>
  <si>
    <t>DOT&amp;PF Central Region Revision: February 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</si>
</sst>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name val="Arial"/>
      <family val="2"/>
    </font>
    <font>
      <sz val="10"/>
      <name val="Arial"/>
      <family val="2"/>
    </font>
    <font>
      <b/>
      <sz val="10"/>
      <name val="Arial"/>
      <family val="2"/>
    </font>
    <font>
      <sz val="10"/>
      <name val="Arial"/>
      <family val="2"/>
    </font>
    <font>
      <sz val="8"/>
      <name val="Arial"/>
      <family val="2"/>
    </font>
    <font>
      <sz val="10"/>
      <color indexed="22"/>
      <name val="Arial"/>
      <family val="2"/>
    </font>
    <font>
      <sz val="10"/>
      <color indexed="15"/>
      <name val="Arial"/>
      <family val="2"/>
    </font>
    <font>
      <sz val="10"/>
      <color theme="0"/>
      <name val="Arial"/>
      <family val="2"/>
    </font>
    <font>
      <b/>
      <sz val="10"/>
      <color theme="1"/>
      <name val="Arial"/>
      <family val="2"/>
    </font>
    <font>
      <b/>
      <i/>
      <sz val="10"/>
      <name val="Arial"/>
      <family val="2"/>
    </font>
    <font>
      <sz val="10"/>
      <color theme="1"/>
      <name val="Arial"/>
      <family val="2"/>
    </font>
    <font>
      <b/>
      <sz val="12"/>
      <name val="Arial"/>
      <family val="2"/>
    </font>
    <font>
      <sz val="12"/>
      <name val="Arial"/>
      <family val="2"/>
    </font>
    <font>
      <sz val="12"/>
      <color theme="0" tint="-0.14999847407452621"/>
      <name val="Arial"/>
      <family val="2"/>
    </font>
    <font>
      <u/>
      <sz val="10"/>
      <color indexed="12"/>
      <name val="Arial"/>
      <family val="2"/>
    </font>
    <font>
      <u/>
      <sz val="10"/>
      <color indexed="12"/>
      <name val="Arial"/>
      <family val="2"/>
    </font>
    <font>
      <sz val="11"/>
      <name val="Arial"/>
      <family val="2"/>
    </font>
    <font>
      <vertAlign val="subscript"/>
      <sz val="11"/>
      <name val="Arial"/>
      <family val="2"/>
    </font>
    <font>
      <u/>
      <sz val="11"/>
      <name val="Arial"/>
      <family val="2"/>
    </font>
    <font>
      <b/>
      <vertAlign val="subscript"/>
      <sz val="12"/>
      <name val="Arial"/>
      <family val="2"/>
    </font>
    <font>
      <b/>
      <sz val="11"/>
      <name val="Arial"/>
      <family val="2"/>
    </font>
    <font>
      <b/>
      <sz val="14"/>
      <name val="Arial"/>
      <family val="2"/>
    </font>
    <font>
      <b/>
      <i/>
      <sz val="10"/>
      <color rgb="FFFF0000"/>
      <name val="Arial"/>
      <family val="2"/>
    </font>
    <font>
      <sz val="9"/>
      <name val="Arial"/>
      <family val="2"/>
    </font>
    <font>
      <b/>
      <sz val="10"/>
      <color rgb="FFFF0000"/>
      <name val="Arial"/>
      <family val="2"/>
    </font>
    <font>
      <i/>
      <sz val="10"/>
      <name val="Arial"/>
      <family val="2"/>
    </font>
    <font>
      <sz val="11"/>
      <color rgb="FF000000"/>
      <name val="Calibri"/>
      <family val="2"/>
    </font>
    <font>
      <b/>
      <sz val="9"/>
      <color indexed="81"/>
      <name val="Tahoma"/>
      <family val="2"/>
    </font>
    <font>
      <b/>
      <i/>
      <strike/>
      <sz val="10"/>
      <color rgb="FFFF0000"/>
      <name val="Arial"/>
      <family val="2"/>
    </font>
    <font>
      <b/>
      <i/>
      <sz val="14"/>
      <name val="Arial"/>
      <family val="2"/>
    </font>
    <font>
      <sz val="14"/>
      <name val="Arial"/>
      <family val="2"/>
    </font>
    <font>
      <b/>
      <sz val="18"/>
      <name val="Arial"/>
      <family val="2"/>
    </font>
    <font>
      <sz val="14"/>
      <color theme="0" tint="-0.14999847407452621"/>
      <name val="Arial"/>
      <family val="2"/>
    </font>
    <font>
      <b/>
      <sz val="22"/>
      <name val="Arial"/>
      <family val="2"/>
    </font>
    <font>
      <sz val="9"/>
      <color indexed="81"/>
      <name val="Tahoma"/>
      <family val="2"/>
    </font>
    <font>
      <b/>
      <sz val="16"/>
      <color rgb="FFFF0000"/>
      <name val="Arial"/>
      <family val="2"/>
    </font>
    <font>
      <b/>
      <sz val="16"/>
      <name val="Arial"/>
      <family val="2"/>
    </font>
  </fonts>
  <fills count="17">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indexed="57"/>
        <bgColor indexed="64"/>
      </patternFill>
    </fill>
    <fill>
      <patternFill patternType="solid">
        <fgColor indexed="49"/>
        <bgColor indexed="64"/>
      </patternFill>
    </fill>
    <fill>
      <patternFill patternType="solid">
        <fgColor rgb="FF92D05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255">
    <xf numFmtId="0" fontId="0" fillId="0" borderId="0" xfId="0"/>
    <xf numFmtId="0" fontId="0" fillId="2" borderId="2"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0" fillId="3" borderId="2" xfId="0" applyFill="1" applyBorder="1" applyAlignment="1">
      <alignment horizontal="center"/>
    </xf>
    <xf numFmtId="0" fontId="0" fillId="3" borderId="2" xfId="0" applyFill="1" applyBorder="1" applyAlignment="1">
      <alignment horizontal="center" wrapText="1"/>
    </xf>
    <xf numFmtId="0" fontId="0" fillId="3" borderId="3" xfId="0" applyFill="1" applyBorder="1" applyAlignment="1">
      <alignment horizontal="center" wrapText="1"/>
    </xf>
    <xf numFmtId="0" fontId="0" fillId="4" borderId="1" xfId="0" applyFill="1" applyBorder="1" applyAlignment="1">
      <alignment horizontal="center"/>
    </xf>
    <xf numFmtId="0" fontId="0" fillId="5" borderId="1" xfId="0" applyFill="1" applyBorder="1" applyAlignment="1">
      <alignment horizontal="center"/>
    </xf>
    <xf numFmtId="0" fontId="0" fillId="0" borderId="0" xfId="0" applyAlignment="1">
      <alignment wrapText="1"/>
    </xf>
    <xf numFmtId="0" fontId="0" fillId="0" borderId="0" xfId="0" applyAlignment="1">
      <alignment horizontal="right"/>
    </xf>
    <xf numFmtId="0" fontId="0" fillId="0" borderId="2" xfId="0" applyBorder="1" applyAlignment="1">
      <alignment horizontal="center" wrapText="1"/>
    </xf>
    <xf numFmtId="0" fontId="2" fillId="0" borderId="0" xfId="0" applyFont="1"/>
    <xf numFmtId="0" fontId="0" fillId="0" borderId="0" xfId="0" applyAlignment="1">
      <alignment horizontal="left"/>
    </xf>
    <xf numFmtId="2" fontId="0" fillId="0" borderId="0" xfId="0" applyNumberFormat="1" applyAlignment="1">
      <alignment horizontal="center"/>
    </xf>
    <xf numFmtId="0" fontId="0" fillId="0" borderId="5" xfId="0" applyBorder="1"/>
    <xf numFmtId="0" fontId="0" fillId="0" borderId="6" xfId="0" applyBorder="1"/>
    <xf numFmtId="0" fontId="0" fillId="6" borderId="2" xfId="0" applyFill="1" applyBorder="1" applyAlignment="1">
      <alignment horizontal="center"/>
    </xf>
    <xf numFmtId="0" fontId="0" fillId="6" borderId="3" xfId="0" applyFill="1"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0" fontId="2" fillId="0" borderId="8" xfId="0" applyFont="1" applyBorder="1" applyAlignment="1">
      <alignment horizontal="center"/>
    </xf>
    <xf numFmtId="0" fontId="2" fillId="0" borderId="8" xfId="0" applyFont="1" applyBorder="1"/>
    <xf numFmtId="2" fontId="0" fillId="0" borderId="5" xfId="0" applyNumberFormat="1" applyBorder="1" applyAlignment="1">
      <alignment horizontal="center"/>
    </xf>
    <xf numFmtId="2" fontId="0" fillId="0" borderId="6" xfId="0" applyNumberFormat="1" applyBorder="1" applyAlignment="1">
      <alignment horizontal="center"/>
    </xf>
    <xf numFmtId="0" fontId="3" fillId="0" borderId="0" xfId="0" applyFont="1" applyAlignment="1">
      <alignment horizontal="center"/>
    </xf>
    <xf numFmtId="0" fontId="2" fillId="0" borderId="0" xfId="0" applyFont="1" applyAlignment="1">
      <alignment wrapText="1"/>
    </xf>
    <xf numFmtId="0" fontId="0" fillId="6" borderId="13" xfId="0" applyFill="1" applyBorder="1" applyAlignment="1">
      <alignment horizontal="center"/>
    </xf>
    <xf numFmtId="164" fontId="0" fillId="6" borderId="14" xfId="0" applyNumberFormat="1" applyFill="1" applyBorder="1" applyAlignment="1">
      <alignment horizontal="center"/>
    </xf>
    <xf numFmtId="0" fontId="0" fillId="6" borderId="1" xfId="0" applyFill="1" applyBorder="1" applyAlignment="1">
      <alignment horizontal="center"/>
    </xf>
    <xf numFmtId="0" fontId="0" fillId="6" borderId="15" xfId="0" applyFill="1" applyBorder="1" applyAlignment="1">
      <alignment horizontal="center"/>
    </xf>
    <xf numFmtId="0" fontId="0" fillId="0" borderId="17" xfId="0" applyBorder="1"/>
    <xf numFmtId="164" fontId="0" fillId="0" borderId="0" xfId="0" applyNumberFormat="1"/>
    <xf numFmtId="164" fontId="0" fillId="0" borderId="17" xfId="0" applyNumberFormat="1" applyBorder="1"/>
    <xf numFmtId="0" fontId="0" fillId="7" borderId="1" xfId="0" applyFill="1" applyBorder="1" applyAlignment="1">
      <alignment horizontal="center"/>
    </xf>
    <xf numFmtId="0" fontId="6" fillId="8" borderId="1" xfId="0" applyFont="1" applyFill="1"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 fillId="0" borderId="11" xfId="0" applyFont="1" applyBorder="1"/>
    <xf numFmtId="0" fontId="1" fillId="0" borderId="12" xfId="0" applyFont="1" applyBorder="1" applyAlignment="1">
      <alignment horizontal="right"/>
    </xf>
    <xf numFmtId="0" fontId="5" fillId="0" borderId="5" xfId="0" applyFont="1" applyBorder="1"/>
    <xf numFmtId="0" fontId="5" fillId="0" borderId="6" xfId="0" applyFont="1" applyBorder="1"/>
    <xf numFmtId="0" fontId="8" fillId="0" borderId="8" xfId="0" applyFont="1" applyBorder="1"/>
    <xf numFmtId="0" fontId="0" fillId="0" borderId="9" xfId="0" applyBorder="1"/>
    <xf numFmtId="2" fontId="0" fillId="0" borderId="10" xfId="0" applyNumberFormat="1" applyBorder="1" applyAlignment="1">
      <alignment horizontal="center"/>
    </xf>
    <xf numFmtId="0" fontId="0" fillId="0" borderId="11" xfId="0" applyBorder="1" applyAlignment="1">
      <alignment horizontal="center" vertical="center"/>
    </xf>
    <xf numFmtId="0" fontId="0" fillId="0" borderId="7" xfId="0" applyBorder="1"/>
    <xf numFmtId="2" fontId="0" fillId="0" borderId="7" xfId="0" applyNumberFormat="1" applyBorder="1" applyAlignment="1">
      <alignment horizontal="center"/>
    </xf>
    <xf numFmtId="2" fontId="0" fillId="0" borderId="12" xfId="0" applyNumberFormat="1" applyBorder="1" applyAlignment="1">
      <alignment horizontal="center"/>
    </xf>
    <xf numFmtId="0" fontId="0" fillId="12" borderId="18" xfId="0" applyFill="1" applyBorder="1" applyAlignment="1">
      <alignment horizontal="center"/>
    </xf>
    <xf numFmtId="0" fontId="0" fillId="12" borderId="19" xfId="0" applyFill="1" applyBorder="1" applyAlignment="1">
      <alignment horizontal="center"/>
    </xf>
    <xf numFmtId="0" fontId="0" fillId="0" borderId="8" xfId="0" applyBorder="1"/>
    <xf numFmtId="0" fontId="0" fillId="0" borderId="0" xfId="0" applyAlignment="1">
      <alignment vertical="top" wrapText="1"/>
    </xf>
    <xf numFmtId="0" fontId="9" fillId="2" borderId="1" xfId="0" applyFont="1" applyFill="1" applyBorder="1" applyAlignment="1">
      <alignment horizontal="center"/>
    </xf>
    <xf numFmtId="0" fontId="9" fillId="6" borderId="13" xfId="0" applyFont="1" applyFill="1" applyBorder="1" applyAlignment="1">
      <alignment horizontal="center"/>
    </xf>
    <xf numFmtId="0" fontId="9" fillId="0" borderId="3" xfId="0" applyFont="1" applyBorder="1"/>
    <xf numFmtId="0" fontId="9" fillId="0" borderId="20" xfId="0" applyFont="1" applyBorder="1"/>
    <xf numFmtId="0" fontId="2" fillId="7" borderId="1" xfId="0" applyFont="1" applyFill="1" applyBorder="1" applyAlignment="1">
      <alignment horizontal="center"/>
    </xf>
    <xf numFmtId="20" fontId="2" fillId="7" borderId="1" xfId="0" quotePrefix="1" applyNumberFormat="1" applyFont="1" applyFill="1" applyBorder="1" applyAlignment="1">
      <alignment horizontal="center"/>
    </xf>
    <xf numFmtId="0" fontId="2" fillId="7" borderId="1" xfId="0" quotePrefix="1" applyFont="1" applyFill="1" applyBorder="1" applyAlignment="1">
      <alignment horizontal="center"/>
    </xf>
    <xf numFmtId="0" fontId="2" fillId="4" borderId="1" xfId="0" applyFont="1" applyFill="1" applyBorder="1" applyAlignment="1">
      <alignment horizontal="center"/>
    </xf>
    <xf numFmtId="20" fontId="2" fillId="4" borderId="1" xfId="0" quotePrefix="1" applyNumberFormat="1" applyFont="1" applyFill="1" applyBorder="1" applyAlignment="1">
      <alignment horizontal="center"/>
    </xf>
    <xf numFmtId="0" fontId="2" fillId="4" borderId="1" xfId="0" quotePrefix="1" applyFont="1" applyFill="1" applyBorder="1" applyAlignment="1">
      <alignment horizontal="center"/>
    </xf>
    <xf numFmtId="0" fontId="0" fillId="0" borderId="20" xfId="0" applyBorder="1"/>
    <xf numFmtId="0" fontId="2" fillId="0" borderId="2" xfId="0" applyFont="1" applyBorder="1"/>
    <xf numFmtId="0" fontId="0" fillId="9" borderId="10" xfId="0" applyFill="1" applyBorder="1" applyAlignment="1" applyProtection="1">
      <alignment horizontal="center"/>
      <protection locked="0"/>
    </xf>
    <xf numFmtId="0" fontId="0" fillId="9" borderId="12" xfId="0" applyFill="1" applyBorder="1" applyAlignment="1" applyProtection="1">
      <alignment horizontal="center"/>
      <protection locked="0"/>
    </xf>
    <xf numFmtId="0" fontId="0" fillId="0" borderId="0" xfId="0" applyAlignment="1">
      <alignment horizontal="center"/>
    </xf>
    <xf numFmtId="0" fontId="7" fillId="0" borderId="10" xfId="0" applyFont="1" applyBorder="1" applyAlignment="1" applyProtection="1">
      <alignment horizontal="center"/>
      <protection locked="0"/>
    </xf>
    <xf numFmtId="0" fontId="0" fillId="9" borderId="6" xfId="0" applyFill="1" applyBorder="1" applyAlignment="1" applyProtection="1">
      <alignment horizontal="center"/>
      <protection locked="0"/>
    </xf>
    <xf numFmtId="0" fontId="0" fillId="0" borderId="12" xfId="0" applyBorder="1" applyAlignment="1">
      <alignment horizontal="center"/>
    </xf>
    <xf numFmtId="0" fontId="0" fillId="0" borderId="5" xfId="0" applyBorder="1" applyAlignment="1">
      <alignment horizontal="center"/>
    </xf>
    <xf numFmtId="0" fontId="7" fillId="0" borderId="12" xfId="0" applyFont="1" applyBorder="1" applyAlignment="1" applyProtection="1">
      <alignment horizontal="center"/>
      <protection locked="0"/>
    </xf>
    <xf numFmtId="0" fontId="0" fillId="0" borderId="7" xfId="0" applyBorder="1" applyAlignment="1">
      <alignment horizontal="center"/>
    </xf>
    <xf numFmtId="0" fontId="10" fillId="9" borderId="12" xfId="0" applyFont="1" applyFill="1" applyBorder="1" applyAlignment="1" applyProtection="1">
      <alignment horizontal="center"/>
      <protection locked="0"/>
    </xf>
    <xf numFmtId="0" fontId="11" fillId="13" borderId="28" xfId="0" applyFont="1" applyFill="1" applyBorder="1" applyAlignment="1">
      <alignment horizontal="center"/>
    </xf>
    <xf numFmtId="0" fontId="12" fillId="13" borderId="28" xfId="0" applyFont="1" applyFill="1" applyBorder="1" applyAlignment="1">
      <alignment horizontal="center"/>
    </xf>
    <xf numFmtId="0" fontId="12" fillId="13" borderId="0" xfId="0" applyFont="1" applyFill="1"/>
    <xf numFmtId="0" fontId="12" fillId="13" borderId="30" xfId="0" applyFont="1" applyFill="1" applyBorder="1" applyAlignment="1">
      <alignment horizontal="center"/>
    </xf>
    <xf numFmtId="0" fontId="12" fillId="13" borderId="31" xfId="0" applyFont="1" applyFill="1" applyBorder="1" applyAlignment="1">
      <alignment horizontal="center"/>
    </xf>
    <xf numFmtId="0" fontId="12" fillId="13" borderId="31" xfId="0" applyFont="1" applyFill="1" applyBorder="1"/>
    <xf numFmtId="0" fontId="13" fillId="13" borderId="28" xfId="0" applyFont="1" applyFill="1" applyBorder="1" applyAlignment="1">
      <alignment horizontal="center"/>
    </xf>
    <xf numFmtId="0" fontId="0" fillId="2" borderId="1" xfId="0" applyFill="1" applyBorder="1" applyAlignment="1">
      <alignment horizontal="center"/>
    </xf>
    <xf numFmtId="0" fontId="2" fillId="2" borderId="1" xfId="0" applyFont="1" applyFill="1" applyBorder="1" applyAlignment="1">
      <alignment horizontal="center"/>
    </xf>
    <xf numFmtId="0" fontId="12" fillId="13" borderId="0" xfId="0" applyFont="1" applyFill="1" applyAlignment="1">
      <alignment horizontal="center"/>
    </xf>
    <xf numFmtId="0" fontId="12" fillId="13" borderId="29" xfId="0" applyFont="1" applyFill="1" applyBorder="1" applyAlignment="1">
      <alignment horizontal="center"/>
    </xf>
    <xf numFmtId="0" fontId="11" fillId="13" borderId="0" xfId="0" applyFont="1" applyFill="1" applyAlignment="1">
      <alignment horizontal="center"/>
    </xf>
    <xf numFmtId="0" fontId="11" fillId="13" borderId="29" xfId="0" applyFont="1" applyFill="1" applyBorder="1" applyAlignment="1">
      <alignment horizontal="center"/>
    </xf>
    <xf numFmtId="0" fontId="1" fillId="0" borderId="0" xfId="0" applyFont="1" applyAlignment="1">
      <alignment vertical="center" wrapText="1"/>
    </xf>
    <xf numFmtId="0" fontId="1" fillId="0" borderId="0" xfId="0" applyFont="1" applyAlignment="1">
      <alignment vertical="center"/>
    </xf>
    <xf numFmtId="0" fontId="21" fillId="0" borderId="0" xfId="0" applyFont="1"/>
    <xf numFmtId="0" fontId="0" fillId="14" borderId="2" xfId="0" applyFill="1" applyBorder="1" applyAlignment="1">
      <alignment horizontal="center" wrapText="1"/>
    </xf>
    <xf numFmtId="0" fontId="9" fillId="5" borderId="1" xfId="0" applyFont="1" applyFill="1" applyBorder="1" applyAlignment="1">
      <alignment horizontal="center"/>
    </xf>
    <xf numFmtId="164" fontId="9" fillId="6" borderId="14" xfId="0" applyNumberFormat="1" applyFont="1" applyFill="1" applyBorder="1" applyAlignment="1">
      <alignment horizontal="center"/>
    </xf>
    <xf numFmtId="0" fontId="9" fillId="6" borderId="1" xfId="0" applyFont="1" applyFill="1" applyBorder="1" applyAlignment="1">
      <alignment horizontal="center"/>
    </xf>
    <xf numFmtId="2" fontId="0" fillId="0" borderId="4" xfId="0" applyNumberFormat="1" applyBorder="1" applyAlignment="1">
      <alignment horizontal="center"/>
    </xf>
    <xf numFmtId="164" fontId="0" fillId="11" borderId="7" xfId="0" applyNumberFormat="1" applyFill="1" applyBorder="1" applyAlignment="1">
      <alignment horizontal="center"/>
    </xf>
    <xf numFmtId="0" fontId="22" fillId="0" borderId="0" xfId="0" applyFont="1" applyAlignment="1">
      <alignment horizontal="left"/>
    </xf>
    <xf numFmtId="0" fontId="0" fillId="16" borderId="8" xfId="0" applyFill="1" applyBorder="1" applyAlignment="1">
      <alignment horizontal="center"/>
    </xf>
    <xf numFmtId="0" fontId="0" fillId="16" borderId="9" xfId="0" applyFill="1" applyBorder="1" applyAlignment="1">
      <alignment horizontal="center"/>
    </xf>
    <xf numFmtId="0" fontId="0" fillId="16" borderId="11" xfId="0" applyFill="1" applyBorder="1" applyAlignment="1">
      <alignment horizontal="center"/>
    </xf>
    <xf numFmtId="0" fontId="0" fillId="16" borderId="33" xfId="0" applyFill="1" applyBorder="1" applyAlignment="1">
      <alignment horizontal="center"/>
    </xf>
    <xf numFmtId="0" fontId="0" fillId="0" borderId="34" xfId="0" applyBorder="1" applyAlignment="1">
      <alignment horizontal="center"/>
    </xf>
    <xf numFmtId="0" fontId="11" fillId="0" borderId="0" xfId="0" applyFont="1"/>
    <xf numFmtId="0" fontId="0" fillId="12" borderId="11" xfId="0" applyFill="1" applyBorder="1" applyAlignment="1">
      <alignment horizontal="center"/>
    </xf>
    <xf numFmtId="0" fontId="0" fillId="12" borderId="12" xfId="0" applyFill="1" applyBorder="1" applyAlignment="1">
      <alignment horizontal="center"/>
    </xf>
    <xf numFmtId="0" fontId="14" fillId="0" borderId="0" xfId="1" applyAlignment="1" applyProtection="1"/>
    <xf numFmtId="0" fontId="14" fillId="0" borderId="0" xfId="1" applyAlignment="1" applyProtection="1">
      <alignment horizontal="center"/>
    </xf>
    <xf numFmtId="20" fontId="0" fillId="4" borderId="1" xfId="0" quotePrefix="1" applyNumberFormat="1" applyFill="1" applyBorder="1" applyAlignment="1">
      <alignment horizontal="center"/>
    </xf>
    <xf numFmtId="0" fontId="15" fillId="0" borderId="0" xfId="1" applyFont="1" applyAlignment="1" applyProtection="1">
      <alignment horizontal="center"/>
    </xf>
    <xf numFmtId="0" fontId="0" fillId="0" borderId="8" xfId="0" applyBorder="1" applyAlignment="1">
      <alignment horizontal="center"/>
    </xf>
    <xf numFmtId="0" fontId="25" fillId="0" borderId="0" xfId="0" applyFont="1" applyAlignment="1">
      <alignment horizontal="center" vertical="top" wrapText="1"/>
    </xf>
    <xf numFmtId="0" fontId="25" fillId="0" borderId="0" xfId="0" applyFont="1"/>
    <xf numFmtId="0" fontId="2" fillId="0" borderId="0" xfId="0" applyFont="1" applyAlignment="1">
      <alignment vertical="center"/>
    </xf>
    <xf numFmtId="0" fontId="16" fillId="0" borderId="0" xfId="0" applyFont="1" applyAlignment="1">
      <alignment horizontal="left" vertical="center" wrapText="1"/>
    </xf>
    <xf numFmtId="0" fontId="11"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wrapText="1"/>
    </xf>
    <xf numFmtId="0" fontId="16" fillId="0" borderId="0" xfId="0" applyFont="1" applyAlignment="1">
      <alignment vertical="center"/>
    </xf>
    <xf numFmtId="0" fontId="0" fillId="0" borderId="0" xfId="0" applyAlignment="1">
      <alignment vertical="center" wrapText="1"/>
    </xf>
    <xf numFmtId="0" fontId="0" fillId="0" borderId="4" xfId="0" applyBorder="1" applyAlignment="1">
      <alignment horizontal="center"/>
    </xf>
    <xf numFmtId="0" fontId="26" fillId="0" borderId="0" xfId="0" applyFont="1"/>
    <xf numFmtId="0" fontId="1" fillId="0" borderId="0" xfId="0" applyFont="1"/>
    <xf numFmtId="0" fontId="1" fillId="0" borderId="0" xfId="0" applyFont="1" applyAlignment="1">
      <alignment horizontal="right"/>
    </xf>
    <xf numFmtId="0" fontId="1" fillId="0" borderId="11" xfId="0" applyFont="1" applyBorder="1" applyAlignment="1">
      <alignment horizontal="center"/>
    </xf>
    <xf numFmtId="0" fontId="0" fillId="0" borderId="11" xfId="0" applyBorder="1"/>
    <xf numFmtId="0" fontId="0" fillId="0" borderId="12" xfId="0" applyBorder="1"/>
    <xf numFmtId="0" fontId="5" fillId="0" borderId="5" xfId="0" applyFont="1" applyBorder="1" applyAlignment="1">
      <alignment horizontal="center"/>
    </xf>
    <xf numFmtId="0" fontId="14" fillId="0" borderId="0" xfId="1" applyAlignment="1" applyProtection="1">
      <alignment wrapText="1"/>
    </xf>
    <xf numFmtId="0" fontId="28" fillId="0" borderId="0" xfId="0" applyFont="1" applyAlignment="1">
      <alignment wrapText="1"/>
    </xf>
    <xf numFmtId="0" fontId="0" fillId="9" borderId="10" xfId="0" applyFill="1" applyBorder="1" applyAlignment="1">
      <alignment horizontal="center"/>
    </xf>
    <xf numFmtId="0" fontId="0" fillId="9" borderId="12" xfId="0" applyFill="1" applyBorder="1" applyAlignment="1">
      <alignment horizontal="center"/>
    </xf>
    <xf numFmtId="0" fontId="21" fillId="16" borderId="0" xfId="0" applyFont="1" applyFill="1" applyAlignment="1">
      <alignment horizontal="left"/>
    </xf>
    <xf numFmtId="0" fontId="0" fillId="0" borderId="0" xfId="0" applyAlignment="1">
      <alignment horizontal="centerContinuous"/>
    </xf>
    <xf numFmtId="0" fontId="15" fillId="0" borderId="0" xfId="1" applyFont="1" applyAlignment="1" applyProtection="1">
      <alignment horizontal="centerContinuous"/>
    </xf>
    <xf numFmtId="0" fontId="0" fillId="0" borderId="8" xfId="0" applyBorder="1" applyAlignment="1">
      <alignment horizontal="center" vertical="center" wrapText="1"/>
    </xf>
    <xf numFmtId="0" fontId="1" fillId="9" borderId="6" xfId="0" applyFont="1" applyFill="1" applyBorder="1" applyAlignment="1" applyProtection="1">
      <alignment horizontal="center" vertical="center"/>
      <protection locked="0"/>
    </xf>
    <xf numFmtId="0" fontId="0" fillId="0" borderId="8" xfId="0" applyBorder="1" applyAlignment="1">
      <alignment horizontal="center" vertical="center"/>
    </xf>
    <xf numFmtId="0" fontId="0" fillId="9" borderId="6" xfId="0" applyFill="1" applyBorder="1" applyAlignment="1" applyProtection="1">
      <alignment horizontal="center" vertical="center"/>
      <protection locked="0"/>
    </xf>
    <xf numFmtId="0" fontId="30" fillId="0" borderId="0" xfId="0" applyFont="1"/>
    <xf numFmtId="0" fontId="12" fillId="0" borderId="0" xfId="0" applyFont="1"/>
    <xf numFmtId="0" fontId="31" fillId="0" borderId="0" xfId="0" applyFont="1"/>
    <xf numFmtId="0" fontId="30" fillId="0" borderId="0" xfId="0" applyFont="1" applyAlignment="1">
      <alignment horizontal="right"/>
    </xf>
    <xf numFmtId="0" fontId="21" fillId="13" borderId="28" xfId="0" applyFont="1" applyFill="1" applyBorder="1" applyAlignment="1">
      <alignment horizontal="center"/>
    </xf>
    <xf numFmtId="0" fontId="21" fillId="13" borderId="0" xfId="0" applyFont="1" applyFill="1" applyAlignment="1">
      <alignment horizontal="center"/>
    </xf>
    <xf numFmtId="0" fontId="21" fillId="13" borderId="29" xfId="0" applyFont="1" applyFill="1" applyBorder="1" applyAlignment="1">
      <alignment horizontal="center"/>
    </xf>
    <xf numFmtId="0" fontId="30" fillId="13" borderId="28" xfId="0" applyFont="1" applyFill="1" applyBorder="1" applyAlignment="1">
      <alignment horizontal="center"/>
    </xf>
    <xf numFmtId="0" fontId="30" fillId="13" borderId="0" xfId="0" applyFont="1" applyFill="1"/>
    <xf numFmtId="0" fontId="30" fillId="13" borderId="0" xfId="0" applyFont="1" applyFill="1" applyAlignment="1">
      <alignment horizontal="center"/>
    </xf>
    <xf numFmtId="0" fontId="30" fillId="13" borderId="29" xfId="0" applyFont="1" applyFill="1" applyBorder="1" applyAlignment="1">
      <alignment horizontal="center"/>
    </xf>
    <xf numFmtId="0" fontId="32" fillId="13" borderId="28" xfId="0" applyFont="1" applyFill="1" applyBorder="1" applyAlignment="1">
      <alignment horizontal="center"/>
    </xf>
    <xf numFmtId="0" fontId="30" fillId="13" borderId="30" xfId="0" applyFont="1" applyFill="1" applyBorder="1" applyAlignment="1">
      <alignment horizontal="center"/>
    </xf>
    <xf numFmtId="0" fontId="30" fillId="13" borderId="31" xfId="0" applyFont="1" applyFill="1" applyBorder="1" applyAlignment="1">
      <alignment horizontal="center"/>
    </xf>
    <xf numFmtId="0" fontId="30" fillId="13" borderId="31" xfId="0" applyFont="1" applyFill="1" applyBorder="1"/>
    <xf numFmtId="0" fontId="30" fillId="16" borderId="0" xfId="0" applyFont="1" applyFill="1" applyAlignment="1">
      <alignment horizontal="center"/>
    </xf>
    <xf numFmtId="0" fontId="30" fillId="16" borderId="0" xfId="0" applyFont="1" applyFill="1"/>
    <xf numFmtId="2" fontId="30" fillId="16" borderId="0" xfId="0" applyNumberFormat="1" applyFont="1" applyFill="1" applyAlignment="1">
      <alignment horizontal="center"/>
    </xf>
    <xf numFmtId="0" fontId="30" fillId="13" borderId="28" xfId="0" applyFont="1" applyFill="1" applyBorder="1" applyAlignment="1">
      <alignment horizontal="right" vertical="center"/>
    </xf>
    <xf numFmtId="0" fontId="30" fillId="13" borderId="0" xfId="0" applyFont="1" applyFill="1" applyAlignment="1">
      <alignment horizontal="right" vertical="center"/>
    </xf>
    <xf numFmtId="0" fontId="30" fillId="13" borderId="29" xfId="0" applyFont="1" applyFill="1" applyBorder="1" applyAlignment="1">
      <alignment horizontal="center" vertical="center"/>
    </xf>
    <xf numFmtId="0" fontId="30" fillId="13" borderId="30" xfId="0" applyFont="1" applyFill="1" applyBorder="1" applyAlignment="1">
      <alignment horizontal="right" vertical="center"/>
    </xf>
    <xf numFmtId="0" fontId="30" fillId="13" borderId="31" xfId="0" applyFont="1" applyFill="1" applyBorder="1" applyAlignment="1">
      <alignment horizontal="right" vertical="center"/>
    </xf>
    <xf numFmtId="0" fontId="30" fillId="13" borderId="32" xfId="0" applyFont="1" applyFill="1" applyBorder="1" applyAlignment="1">
      <alignment horizontal="center" vertical="center"/>
    </xf>
    <xf numFmtId="0" fontId="30" fillId="0" borderId="0" xfId="0" applyFont="1" applyAlignment="1">
      <alignment horizontal="center"/>
    </xf>
    <xf numFmtId="0" fontId="30" fillId="9" borderId="0" xfId="0" applyFont="1" applyFill="1" applyAlignment="1">
      <alignment horizontal="center"/>
    </xf>
    <xf numFmtId="164" fontId="30" fillId="9" borderId="0" xfId="0" applyNumberFormat="1" applyFont="1" applyFill="1" applyAlignment="1">
      <alignment horizontal="center"/>
    </xf>
    <xf numFmtId="0" fontId="0" fillId="16" borderId="5" xfId="0" applyFill="1" applyBorder="1" applyAlignment="1">
      <alignment horizontal="center" vertical="center"/>
    </xf>
    <xf numFmtId="0" fontId="0" fillId="16" borderId="0" xfId="0" applyFill="1" applyAlignment="1">
      <alignment horizontal="center" vertical="center"/>
    </xf>
    <xf numFmtId="0" fontId="0" fillId="16" borderId="5" xfId="0" applyFill="1" applyBorder="1" applyAlignment="1">
      <alignment horizontal="center"/>
    </xf>
    <xf numFmtId="0" fontId="0" fillId="16" borderId="0" xfId="0" applyFill="1" applyAlignment="1">
      <alignment horizontal="center"/>
    </xf>
    <xf numFmtId="0" fontId="1" fillId="0" borderId="10" xfId="0" applyFont="1" applyBorder="1" applyAlignment="1">
      <alignment horizontal="center"/>
    </xf>
    <xf numFmtId="0" fontId="1" fillId="0" borderId="12" xfId="0" applyFont="1" applyBorder="1" applyAlignment="1">
      <alignment horizontal="center"/>
    </xf>
    <xf numFmtId="0" fontId="0" fillId="0" borderId="8" xfId="0" applyBorder="1" applyAlignment="1">
      <alignment horizontal="center" wrapText="1"/>
    </xf>
    <xf numFmtId="0" fontId="33" fillId="0" borderId="0" xfId="0" applyFont="1"/>
    <xf numFmtId="2" fontId="30" fillId="13" borderId="32" xfId="0" applyNumberFormat="1" applyFont="1" applyFill="1" applyBorder="1" applyAlignment="1">
      <alignment horizontal="center"/>
    </xf>
    <xf numFmtId="164" fontId="30" fillId="13" borderId="29" xfId="0" applyNumberFormat="1" applyFont="1" applyFill="1" applyBorder="1" applyAlignment="1">
      <alignment horizontal="center"/>
    </xf>
    <xf numFmtId="164" fontId="12" fillId="10" borderId="29" xfId="0" applyNumberFormat="1" applyFont="1" applyFill="1" applyBorder="1" applyAlignment="1">
      <alignment horizontal="center"/>
    </xf>
    <xf numFmtId="164" fontId="12" fillId="15" borderId="0" xfId="0" applyNumberFormat="1" applyFont="1" applyFill="1" applyAlignment="1">
      <alignment horizontal="center"/>
    </xf>
    <xf numFmtId="164" fontId="12" fillId="11" borderId="32" xfId="0" applyNumberFormat="1" applyFont="1" applyFill="1" applyBorder="1" applyAlignment="1">
      <alignment horizontal="center"/>
    </xf>
    <xf numFmtId="0" fontId="35" fillId="0" borderId="0" xfId="0" applyFont="1"/>
    <xf numFmtId="0" fontId="29" fillId="0" borderId="0" xfId="0" applyFont="1"/>
    <xf numFmtId="0" fontId="36" fillId="0" borderId="0" xfId="0" applyFont="1"/>
    <xf numFmtId="164" fontId="30" fillId="13" borderId="29" xfId="0" applyNumberFormat="1" applyFont="1" applyFill="1" applyBorder="1" applyAlignment="1">
      <alignment horizontal="center" vertical="center"/>
    </xf>
    <xf numFmtId="164" fontId="21" fillId="13" borderId="29" xfId="0" applyNumberFormat="1" applyFont="1" applyFill="1" applyBorder="1" applyAlignment="1">
      <alignment horizontal="center" vertical="center"/>
    </xf>
    <xf numFmtId="0" fontId="21" fillId="13" borderId="25" xfId="0" applyFont="1" applyFill="1" applyBorder="1" applyAlignment="1">
      <alignment horizontal="center"/>
    </xf>
    <xf numFmtId="0" fontId="21" fillId="13" borderId="26" xfId="0" applyFont="1" applyFill="1" applyBorder="1" applyAlignment="1">
      <alignment horizontal="center"/>
    </xf>
    <xf numFmtId="0" fontId="21" fillId="13" borderId="27" xfId="0" applyFont="1" applyFill="1" applyBorder="1" applyAlignment="1">
      <alignment horizontal="center"/>
    </xf>
    <xf numFmtId="0" fontId="30" fillId="13" borderId="28" xfId="0" applyFont="1" applyFill="1" applyBorder="1" applyAlignment="1">
      <alignment horizontal="right" vertical="center"/>
    </xf>
    <xf numFmtId="0" fontId="30" fillId="13" borderId="0" xfId="0" applyFont="1" applyFill="1" applyAlignment="1">
      <alignment horizontal="right" vertical="center"/>
    </xf>
    <xf numFmtId="0" fontId="30" fillId="0" borderId="0" xfId="0" applyFont="1" applyAlignment="1">
      <alignment horizontal="right" vertical="center"/>
    </xf>
    <xf numFmtId="0" fontId="11" fillId="13" borderId="25" xfId="0" applyFont="1" applyFill="1" applyBorder="1" applyAlignment="1">
      <alignment horizontal="center"/>
    </xf>
    <xf numFmtId="0" fontId="11" fillId="13" borderId="26" xfId="0" applyFont="1" applyFill="1" applyBorder="1" applyAlignment="1">
      <alignment horizontal="center"/>
    </xf>
    <xf numFmtId="0" fontId="11" fillId="13" borderId="27" xfId="0" applyFont="1" applyFill="1" applyBorder="1" applyAlignment="1">
      <alignment horizont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2" fontId="0" fillId="0" borderId="0" xfId="0" applyNumberFormat="1" applyAlignment="1">
      <alignment horizontal="center" vertical="center"/>
    </xf>
    <xf numFmtId="2" fontId="0" fillId="0" borderId="7" xfId="0" applyNumberFormat="1" applyBorder="1" applyAlignment="1">
      <alignment horizontal="center" vertical="center"/>
    </xf>
    <xf numFmtId="164" fontId="0" fillId="10" borderId="10" xfId="0" applyNumberFormat="1" applyFill="1" applyBorder="1" applyAlignment="1">
      <alignment horizontal="center" vertical="center"/>
    </xf>
    <xf numFmtId="164" fontId="0" fillId="10" borderId="12" xfId="0" applyNumberFormat="1" applyFill="1" applyBorder="1" applyAlignment="1">
      <alignment horizontal="center" vertical="center"/>
    </xf>
    <xf numFmtId="164" fontId="0" fillId="11" borderId="10" xfId="0" applyNumberFormat="1" applyFill="1" applyBorder="1" applyAlignment="1">
      <alignment horizontal="center" vertical="center"/>
    </xf>
    <xf numFmtId="2" fontId="23" fillId="0" borderId="9" xfId="0" applyNumberFormat="1" applyFont="1" applyBorder="1" applyAlignment="1">
      <alignment horizontal="center" wrapText="1"/>
    </xf>
    <xf numFmtId="0" fontId="0" fillId="12" borderId="22" xfId="0" applyFill="1" applyBorder="1" applyAlignment="1">
      <alignment horizontal="center" vertical="center" wrapText="1"/>
    </xf>
    <xf numFmtId="0" fontId="0" fillId="12" borderId="23" xfId="0" applyFill="1" applyBorder="1" applyAlignment="1">
      <alignment horizontal="center" vertical="center" wrapText="1"/>
    </xf>
    <xf numFmtId="0" fontId="25" fillId="0" borderId="9" xfId="0" applyFont="1" applyBorder="1" applyAlignment="1">
      <alignment horizontal="center" vertical="top" wrapText="1"/>
    </xf>
    <xf numFmtId="0" fontId="25" fillId="0" borderId="0" xfId="0" applyFont="1" applyAlignment="1">
      <alignment horizontal="center" vertical="top" wrapText="1"/>
    </xf>
    <xf numFmtId="0" fontId="24" fillId="0" borderId="9" xfId="0" applyFont="1" applyBorder="1" applyAlignment="1">
      <alignment horizontal="center"/>
    </xf>
    <xf numFmtId="0" fontId="24" fillId="0" borderId="0" xfId="0" applyFont="1" applyAlignment="1">
      <alignment horizontal="center"/>
    </xf>
    <xf numFmtId="0" fontId="0" fillId="5" borderId="14" xfId="0" applyFill="1" applyBorder="1" applyAlignment="1">
      <alignment horizontal="center"/>
    </xf>
    <xf numFmtId="0" fontId="0" fillId="5" borderId="16" xfId="0" applyFill="1" applyBorder="1" applyAlignment="1">
      <alignment horizontal="center"/>
    </xf>
    <xf numFmtId="0" fontId="0" fillId="5" borderId="3" xfId="0" applyFill="1" applyBorder="1" applyAlignment="1">
      <alignment horizontal="center" wrapText="1"/>
    </xf>
    <xf numFmtId="0" fontId="0" fillId="0" borderId="2" xfId="0" applyBorder="1" applyAlignment="1">
      <alignment horizontal="center" wrapText="1"/>
    </xf>
    <xf numFmtId="0" fontId="2" fillId="5" borderId="14" xfId="0" applyFont="1" applyFill="1" applyBorder="1" applyAlignment="1">
      <alignment horizontal="center"/>
    </xf>
    <xf numFmtId="0" fontId="2" fillId="5" borderId="16" xfId="0" applyFont="1" applyFill="1" applyBorder="1" applyAlignment="1">
      <alignment horizontal="center"/>
    </xf>
    <xf numFmtId="0" fontId="0" fillId="7" borderId="3" xfId="0" applyFill="1" applyBorder="1" applyAlignment="1">
      <alignment horizontal="center" vertical="center"/>
    </xf>
    <xf numFmtId="0" fontId="0" fillId="7" borderId="20" xfId="0" applyFill="1" applyBorder="1" applyAlignment="1">
      <alignment horizontal="center" vertical="center"/>
    </xf>
    <xf numFmtId="0" fontId="0" fillId="7" borderId="2" xfId="0" applyFill="1" applyBorder="1" applyAlignment="1">
      <alignment horizontal="center" vertical="center"/>
    </xf>
    <xf numFmtId="0" fontId="0" fillId="4" borderId="3" xfId="0" applyFill="1" applyBorder="1" applyAlignment="1">
      <alignment horizontal="center" vertical="center"/>
    </xf>
    <xf numFmtId="0" fontId="0" fillId="4" borderId="20" xfId="0" applyFill="1" applyBorder="1" applyAlignment="1">
      <alignment horizontal="center" vertical="center"/>
    </xf>
    <xf numFmtId="0" fontId="0" fillId="4" borderId="2" xfId="0" applyFill="1" applyBorder="1" applyAlignment="1">
      <alignment horizontal="center" vertical="center"/>
    </xf>
    <xf numFmtId="0" fontId="0" fillId="4" borderId="21" xfId="0" applyFill="1" applyBorder="1" applyAlignment="1">
      <alignment horizontal="center" vertical="center"/>
    </xf>
    <xf numFmtId="0" fontId="0" fillId="4" borderId="0" xfId="0" applyFill="1" applyAlignment="1">
      <alignment horizontal="center" vertical="center"/>
    </xf>
    <xf numFmtId="0" fontId="0" fillId="0" borderId="0" xfId="0" applyAlignment="1">
      <alignment horizontal="left" wrapText="1"/>
    </xf>
    <xf numFmtId="0" fontId="2" fillId="2" borderId="14" xfId="0" applyFont="1" applyFill="1" applyBorder="1" applyAlignment="1">
      <alignment horizontal="center"/>
    </xf>
    <xf numFmtId="0" fontId="2" fillId="2" borderId="16" xfId="0" applyFont="1" applyFill="1" applyBorder="1" applyAlignment="1">
      <alignment horizontal="center"/>
    </xf>
    <xf numFmtId="0" fontId="2" fillId="2" borderId="24" xfId="0" applyFont="1" applyFill="1" applyBorder="1" applyAlignment="1">
      <alignment horizontal="center"/>
    </xf>
    <xf numFmtId="0" fontId="0" fillId="2" borderId="1" xfId="0" applyFill="1" applyBorder="1" applyAlignment="1">
      <alignment horizontal="center"/>
    </xf>
    <xf numFmtId="0" fontId="0" fillId="3" borderId="14" xfId="0" applyFill="1" applyBorder="1" applyAlignment="1">
      <alignment horizontal="center"/>
    </xf>
    <xf numFmtId="0" fontId="0" fillId="3" borderId="16" xfId="0" applyFill="1" applyBorder="1" applyAlignment="1">
      <alignment horizontal="center"/>
    </xf>
    <xf numFmtId="0" fontId="0" fillId="3" borderId="24" xfId="0" applyFill="1" applyBorder="1" applyAlignment="1">
      <alignment horizontal="center"/>
    </xf>
    <xf numFmtId="0" fontId="2" fillId="6" borderId="14" xfId="0" applyFont="1" applyFill="1" applyBorder="1" applyAlignment="1">
      <alignment horizontal="center"/>
    </xf>
    <xf numFmtId="0" fontId="2" fillId="6" borderId="24" xfId="0" applyFont="1" applyFill="1" applyBorder="1" applyAlignment="1">
      <alignment horizontal="center"/>
    </xf>
    <xf numFmtId="0" fontId="0" fillId="6" borderId="14" xfId="0" applyFill="1" applyBorder="1" applyAlignment="1">
      <alignment horizontal="center"/>
    </xf>
    <xf numFmtId="0" fontId="0" fillId="6" borderId="24" xfId="0" applyFill="1" applyBorder="1" applyAlignment="1">
      <alignment horizontal="center"/>
    </xf>
    <xf numFmtId="0" fontId="0" fillId="2" borderId="14" xfId="0" applyFill="1" applyBorder="1" applyAlignment="1">
      <alignment horizontal="center"/>
    </xf>
    <xf numFmtId="0" fontId="0" fillId="2" borderId="16" xfId="0" applyFill="1" applyBorder="1" applyAlignment="1">
      <alignment horizontal="center"/>
    </xf>
    <xf numFmtId="0" fontId="0" fillId="2" borderId="24" xfId="0" applyFill="1" applyBorder="1" applyAlignment="1">
      <alignment horizontal="center"/>
    </xf>
    <xf numFmtId="0" fontId="0" fillId="2" borderId="3" xfId="0" applyFill="1" applyBorder="1" applyAlignment="1">
      <alignment horizontal="center" wrapText="1"/>
    </xf>
    <xf numFmtId="0" fontId="0" fillId="2" borderId="20" xfId="0" applyFill="1" applyBorder="1" applyAlignment="1">
      <alignment horizontal="center" wrapText="1"/>
    </xf>
    <xf numFmtId="0" fontId="2" fillId="3" borderId="14" xfId="0" applyFont="1" applyFill="1" applyBorder="1" applyAlignment="1">
      <alignment horizontal="center"/>
    </xf>
    <xf numFmtId="0" fontId="2" fillId="3" borderId="16" xfId="0" applyFont="1" applyFill="1" applyBorder="1" applyAlignment="1">
      <alignment horizontal="center"/>
    </xf>
    <xf numFmtId="0" fontId="2" fillId="3" borderId="24" xfId="0" applyFont="1" applyFill="1" applyBorder="1" applyAlignment="1">
      <alignment horizontal="center"/>
    </xf>
    <xf numFmtId="0" fontId="0" fillId="3" borderId="1" xfId="0" applyFill="1" applyBorder="1" applyAlignment="1">
      <alignment horizontal="center" wrapText="1"/>
    </xf>
    <xf numFmtId="0" fontId="0" fillId="3" borderId="3" xfId="0" applyFill="1" applyBorder="1" applyAlignment="1">
      <alignment horizontal="center" wrapText="1"/>
    </xf>
    <xf numFmtId="0" fontId="0" fillId="4" borderId="14" xfId="0" applyFill="1" applyBorder="1" applyAlignment="1">
      <alignment horizontal="center"/>
    </xf>
    <xf numFmtId="0" fontId="0" fillId="4" borderId="16" xfId="0" applyFill="1" applyBorder="1" applyAlignment="1">
      <alignment horizontal="center"/>
    </xf>
    <xf numFmtId="0" fontId="0" fillId="4" borderId="24" xfId="0" applyFill="1" applyBorder="1" applyAlignment="1">
      <alignment horizontal="center"/>
    </xf>
    <xf numFmtId="0" fontId="0" fillId="3" borderId="3" xfId="0" applyFill="1" applyBorder="1" applyAlignment="1">
      <alignment horizontal="center"/>
    </xf>
    <xf numFmtId="0" fontId="0" fillId="3" borderId="20" xfId="0" applyFill="1" applyBorder="1" applyAlignment="1">
      <alignment horizontal="center"/>
    </xf>
    <xf numFmtId="0" fontId="0" fillId="4" borderId="1" xfId="0" applyFill="1" applyBorder="1" applyAlignment="1">
      <alignment horizontal="center"/>
    </xf>
    <xf numFmtId="0" fontId="2" fillId="4" borderId="14" xfId="0" applyFont="1" applyFill="1" applyBorder="1" applyAlignment="1">
      <alignment horizontal="center"/>
    </xf>
    <xf numFmtId="0" fontId="2" fillId="4" borderId="16" xfId="0" applyFont="1" applyFill="1" applyBorder="1" applyAlignment="1">
      <alignment horizontal="center"/>
    </xf>
    <xf numFmtId="0" fontId="2" fillId="4" borderId="24" xfId="0" applyFont="1" applyFill="1" applyBorder="1" applyAlignment="1">
      <alignment horizontal="center"/>
    </xf>
  </cellXfs>
  <cellStyles count="2">
    <cellStyle name="Hyperlink" xfId="1" builtinId="8"/>
    <cellStyle name="Normal" xfId="0" builtinId="0"/>
  </cellStyles>
  <dxfs count="22">
    <dxf>
      <font>
        <color theme="5" tint="0.59996337778862885"/>
      </font>
    </dxf>
    <dxf>
      <fill>
        <patternFill>
          <bgColor rgb="FFFFFF00"/>
        </patternFill>
      </fill>
    </dxf>
    <dxf>
      <font>
        <color theme="1"/>
      </font>
      <fill>
        <patternFill>
          <bgColor rgb="FF92D050"/>
        </patternFill>
      </fill>
    </dxf>
    <dxf>
      <font>
        <color theme="1"/>
      </font>
      <fill>
        <patternFill>
          <bgColor rgb="FF92D050"/>
        </patternFill>
      </fill>
    </dxf>
    <dxf>
      <font>
        <color theme="1"/>
      </font>
    </dxf>
    <dxf>
      <font>
        <color theme="1"/>
      </font>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theme="8" tint="0.79998168889431442"/>
        </patternFill>
      </fill>
    </dxf>
    <dxf>
      <font>
        <color theme="1"/>
      </font>
    </dxf>
    <dxf>
      <font>
        <color theme="5" tint="0.59996337778862885"/>
      </font>
    </dxf>
    <dxf>
      <fill>
        <patternFill>
          <bgColor rgb="FFFFFF00"/>
        </patternFill>
      </fill>
    </dxf>
    <dxf>
      <font>
        <color theme="1"/>
      </font>
      <fill>
        <patternFill>
          <bgColor rgb="FF92D050"/>
        </patternFill>
      </fill>
    </dxf>
    <dxf>
      <font>
        <color theme="1"/>
      </font>
      <fill>
        <patternFill>
          <bgColor rgb="FF92D050"/>
        </patternFill>
      </fill>
    </dxf>
    <dxf>
      <font>
        <color theme="1"/>
      </font>
    </dxf>
    <dxf>
      <font>
        <color theme="1"/>
      </font>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theme="8" tint="0.79998168889431442"/>
        </patternFill>
      </fill>
    </dxf>
    <dxf>
      <font>
        <color theme="1"/>
      </font>
    </dxf>
  </dxfs>
  <tableStyles count="0" defaultTableStyle="TableStyleMedium9" defaultPivotStyle="PivotStyleLight16"/>
  <colors>
    <mruColors>
      <color rgb="FFDAEEF3"/>
      <color rgb="FFFFFFCC"/>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2</xdr:row>
      <xdr:rowOff>63499</xdr:rowOff>
    </xdr:from>
    <xdr:to>
      <xdr:col>1</xdr:col>
      <xdr:colOff>5640919</xdr:colOff>
      <xdr:row>9</xdr:row>
      <xdr:rowOff>148166</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7500" y="380999"/>
          <a:ext cx="5651502" cy="2899834"/>
        </a:xfrm>
        <a:prstGeom prst="rect">
          <a:avLst/>
        </a:prstGeom>
      </xdr:spPr>
    </xdr:pic>
    <xdr:clientData/>
  </xdr:twoCellAnchor>
  <xdr:twoCellAnchor editAs="oneCell">
    <xdr:from>
      <xdr:col>1</xdr:col>
      <xdr:colOff>5778501</xdr:colOff>
      <xdr:row>2</xdr:row>
      <xdr:rowOff>74082</xdr:rowOff>
    </xdr:from>
    <xdr:to>
      <xdr:col>1</xdr:col>
      <xdr:colOff>11346183</xdr:colOff>
      <xdr:row>9</xdr:row>
      <xdr:rowOff>137583</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06584" y="391582"/>
          <a:ext cx="5567682" cy="28786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250030</xdr:colOff>
      <xdr:row>46</xdr:row>
      <xdr:rowOff>166686</xdr:rowOff>
    </xdr:from>
    <xdr:to>
      <xdr:col>6</xdr:col>
      <xdr:colOff>595312</xdr:colOff>
      <xdr:row>63</xdr:row>
      <xdr:rowOff>47625</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0030" y="7750967"/>
          <a:ext cx="6727032" cy="2714626"/>
        </a:xfrm>
        <a:prstGeom prst="rect">
          <a:avLst/>
        </a:prstGeom>
      </xdr:spPr>
    </xdr:pic>
    <xdr:clientData/>
  </xdr:twoCellAnchor>
  <xdr:twoCellAnchor editAs="oneCell">
    <xdr:from>
      <xdr:col>9</xdr:col>
      <xdr:colOff>11904</xdr:colOff>
      <xdr:row>46</xdr:row>
      <xdr:rowOff>130968</xdr:rowOff>
    </xdr:from>
    <xdr:to>
      <xdr:col>15</xdr:col>
      <xdr:colOff>23813</xdr:colOff>
      <xdr:row>63</xdr:row>
      <xdr:rowOff>59532</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34310" y="7715249"/>
          <a:ext cx="6643690" cy="2762251"/>
        </a:xfrm>
        <a:prstGeom prst="rect">
          <a:avLst/>
        </a:prstGeom>
      </xdr:spPr>
    </xdr:pic>
    <xdr:clientData/>
  </xdr:twoCellAnchor>
  <xdr:oneCellAnchor>
    <xdr:from>
      <xdr:col>10</xdr:col>
      <xdr:colOff>1820036</xdr:colOff>
      <xdr:row>59</xdr:row>
      <xdr:rowOff>115570</xdr:rowOff>
    </xdr:from>
    <xdr:ext cx="527113" cy="173673"/>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35474" y="10414476"/>
              <a:ext cx="527113" cy="1736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𝐴</m:t>
                    </m:r>
                    <m:r>
                      <a:rPr lang="en-US" sz="1100" i="1">
                        <a:latin typeface="Cambria Math" panose="02040503050406030204" pitchFamily="18" charset="0"/>
                      </a:rPr>
                      <m:t>=</m:t>
                    </m:r>
                    <m:r>
                      <a:rPr lang="el-GR" sz="1100" i="1">
                        <a:latin typeface="Cambria Math" panose="02040503050406030204" pitchFamily="18" charset="0"/>
                      </a:rPr>
                      <m:t>𝜋</m:t>
                    </m:r>
                    <m:sSup>
                      <m:sSupPr>
                        <m:ctrlPr>
                          <a:rPr lang="en-US" sz="1100" i="1">
                            <a:latin typeface="Cambria Math" panose="02040503050406030204" pitchFamily="18" charset="0"/>
                          </a:rPr>
                        </m:ctrlPr>
                      </m:sSupPr>
                      <m:e>
                        <m:r>
                          <a:rPr lang="en-US" sz="1100" i="1">
                            <a:latin typeface="Cambria Math" panose="02040503050406030204" pitchFamily="18" charset="0"/>
                          </a:rPr>
                          <m:t>𝑟</m:t>
                        </m:r>
                      </m:e>
                      <m:sup>
                        <m:r>
                          <a:rPr lang="en-US" sz="1100" i="1">
                            <a:latin typeface="Cambria Math" panose="02040503050406030204" pitchFamily="18" charset="0"/>
                          </a:rPr>
                          <m:t>2</m:t>
                        </m:r>
                      </m:sup>
                    </m:sSup>
                  </m:oMath>
                </m:oMathPara>
              </a14:m>
              <a:endParaRPr lang="en-US" sz="1100"/>
            </a:p>
          </xdr:txBody>
        </xdr:sp>
      </mc:Choice>
      <mc:Fallback xmlns="">
        <xdr:sp macro="" textlink="">
          <xdr:nvSpPr>
            <xdr:cNvPr id="2" name="TextBox 1"/>
            <xdr:cNvSpPr txBox="1"/>
          </xdr:nvSpPr>
          <xdr:spPr>
            <a:xfrm>
              <a:off x="11035474" y="10414476"/>
              <a:ext cx="527113" cy="1736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𝐴=</a:t>
              </a:r>
              <a:r>
                <a:rPr lang="el-GR" sz="1100" i="0">
                  <a:latin typeface="Cambria Math" panose="02040503050406030204" pitchFamily="18" charset="0"/>
                </a:rPr>
                <a:t>𝜋</a:t>
              </a:r>
              <a:r>
                <a:rPr lang="en-US" sz="1100" i="0">
                  <a:latin typeface="Cambria Math" panose="02040503050406030204" pitchFamily="18" charset="0"/>
                </a:rPr>
                <a:t>𝑟^2</a:t>
              </a:r>
              <a:endParaRPr lang="en-US" sz="1100"/>
            </a:p>
          </xdr:txBody>
        </xdr:sp>
      </mc:Fallback>
    </mc:AlternateContent>
    <xdr:clientData/>
  </xdr:oneCellAnchor>
  <xdr:oneCellAnchor>
    <xdr:from>
      <xdr:col>10</xdr:col>
      <xdr:colOff>1820036</xdr:colOff>
      <xdr:row>59</xdr:row>
      <xdr:rowOff>115570</xdr:rowOff>
    </xdr:from>
    <xdr:ext cx="527113" cy="173673"/>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1035474" y="10414476"/>
              <a:ext cx="527113" cy="1736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i="1">
                        <a:latin typeface="Cambria Math" panose="02040503050406030204" pitchFamily="18" charset="0"/>
                      </a:rPr>
                      <m:t>𝐴</m:t>
                    </m:r>
                    <m:r>
                      <a:rPr lang="en-US" sz="1100" i="1">
                        <a:latin typeface="Cambria Math" panose="02040503050406030204" pitchFamily="18" charset="0"/>
                      </a:rPr>
                      <m:t>=</m:t>
                    </m:r>
                    <m:r>
                      <a:rPr lang="el-GR" sz="1100" i="1">
                        <a:latin typeface="Cambria Math" panose="02040503050406030204" pitchFamily="18" charset="0"/>
                      </a:rPr>
                      <m:t>𝜋</m:t>
                    </m:r>
                    <m:sSup>
                      <m:sSupPr>
                        <m:ctrlPr>
                          <a:rPr lang="en-US" sz="1100" i="1">
                            <a:latin typeface="Cambria Math" panose="02040503050406030204" pitchFamily="18" charset="0"/>
                          </a:rPr>
                        </m:ctrlPr>
                      </m:sSupPr>
                      <m:e>
                        <m:r>
                          <a:rPr lang="en-US" sz="1100" i="1">
                            <a:latin typeface="Cambria Math" panose="02040503050406030204" pitchFamily="18" charset="0"/>
                          </a:rPr>
                          <m:t>𝑟</m:t>
                        </m:r>
                      </m:e>
                      <m:sup>
                        <m:r>
                          <a:rPr lang="en-US" sz="1100" i="1">
                            <a:latin typeface="Cambria Math" panose="02040503050406030204" pitchFamily="18" charset="0"/>
                          </a:rPr>
                          <m:t>2</m:t>
                        </m:r>
                      </m:sup>
                    </m:sSup>
                  </m:oMath>
                </m:oMathPara>
              </a14:m>
              <a:endParaRPr lang="en-US" sz="1100"/>
            </a:p>
          </xdr:txBody>
        </xdr:sp>
      </mc:Choice>
      <mc:Fallback xmlns="">
        <xdr:sp macro="" textlink="">
          <xdr:nvSpPr>
            <xdr:cNvPr id="3" name="TextBox 2"/>
            <xdr:cNvSpPr txBox="1"/>
          </xdr:nvSpPr>
          <xdr:spPr>
            <a:xfrm>
              <a:off x="11035474" y="10414476"/>
              <a:ext cx="527113" cy="1736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𝐴=</a:t>
              </a:r>
              <a:r>
                <a:rPr lang="el-GR" sz="1100" i="0">
                  <a:latin typeface="Cambria Math" panose="02040503050406030204" pitchFamily="18" charset="0"/>
                </a:rPr>
                <a:t>𝜋</a:t>
              </a:r>
              <a:r>
                <a:rPr lang="en-US" sz="1100" i="0">
                  <a:latin typeface="Cambria Math" panose="02040503050406030204" pitchFamily="18" charset="0"/>
                </a:rPr>
                <a:t>𝑟^2</a:t>
              </a:r>
              <a:endParaRPr lang="en-US" sz="11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hris.post@alaska.gov" TargetMode="External"/><Relationship Id="rId1" Type="http://schemas.openxmlformats.org/officeDocument/2006/relationships/hyperlink" Target="https://flh.fhwa.dot.gov/resources/design/safety.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sheetPr>
  <dimension ref="A1:B25"/>
  <sheetViews>
    <sheetView workbookViewId="0">
      <selection activeCell="A3" sqref="A3"/>
    </sheetView>
  </sheetViews>
  <sheetFormatPr defaultRowHeight="12.75" x14ac:dyDescent="0.2"/>
  <cols>
    <col min="1" max="1" width="101.42578125" style="9" customWidth="1"/>
  </cols>
  <sheetData>
    <row r="1" spans="1:2" x14ac:dyDescent="0.2">
      <c r="A1" s="113" t="s">
        <v>112</v>
      </c>
    </row>
    <row r="2" spans="1:2" x14ac:dyDescent="0.2">
      <c r="A2" s="113" t="s">
        <v>165</v>
      </c>
    </row>
    <row r="3" spans="1:2" x14ac:dyDescent="0.2">
      <c r="A3" s="12" t="s">
        <v>128</v>
      </c>
    </row>
    <row r="4" spans="1:2" x14ac:dyDescent="0.2">
      <c r="A4" t="s">
        <v>130</v>
      </c>
    </row>
    <row r="5" spans="1:2" x14ac:dyDescent="0.2">
      <c r="A5" s="9" t="s">
        <v>115</v>
      </c>
    </row>
    <row r="6" spans="1:2" ht="12.75" customHeight="1" x14ac:dyDescent="0.2">
      <c r="A6" s="9" t="s">
        <v>97</v>
      </c>
      <c r="B6" s="107" t="s">
        <v>110</v>
      </c>
    </row>
    <row r="8" spans="1:2" x14ac:dyDescent="0.2">
      <c r="A8" s="27" t="s">
        <v>39</v>
      </c>
    </row>
    <row r="9" spans="1:2" ht="21" customHeight="1" x14ac:dyDescent="0.2">
      <c r="A9" s="53" t="s">
        <v>55</v>
      </c>
    </row>
    <row r="10" spans="1:2" ht="21" customHeight="1" x14ac:dyDescent="0.2">
      <c r="A10" s="53" t="s">
        <v>56</v>
      </c>
    </row>
    <row r="11" spans="1:2" ht="30" customHeight="1" x14ac:dyDescent="0.2">
      <c r="A11" s="53" t="s">
        <v>137</v>
      </c>
    </row>
    <row r="12" spans="1:2" ht="30" customHeight="1" x14ac:dyDescent="0.2">
      <c r="A12" s="53" t="s">
        <v>57</v>
      </c>
    </row>
    <row r="13" spans="1:2" ht="25.5" x14ac:dyDescent="0.2">
      <c r="A13" s="53" t="s">
        <v>76</v>
      </c>
    </row>
    <row r="15" spans="1:2" x14ac:dyDescent="0.2">
      <c r="A15" s="27" t="s">
        <v>89</v>
      </c>
    </row>
    <row r="16" spans="1:2" x14ac:dyDescent="0.2">
      <c r="A16" s="9" t="s">
        <v>90</v>
      </c>
    </row>
    <row r="17" spans="1:1" x14ac:dyDescent="0.2">
      <c r="A17" s="9" t="s">
        <v>91</v>
      </c>
    </row>
    <row r="18" spans="1:1" x14ac:dyDescent="0.2">
      <c r="A18" s="9" t="s">
        <v>98</v>
      </c>
    </row>
    <row r="19" spans="1:1" x14ac:dyDescent="0.2">
      <c r="A19" s="9" t="s">
        <v>99</v>
      </c>
    </row>
    <row r="20" spans="1:1" x14ac:dyDescent="0.2">
      <c r="A20" s="130" t="s">
        <v>111</v>
      </c>
    </row>
    <row r="22" spans="1:1" x14ac:dyDescent="0.2">
      <c r="A22" s="27" t="s">
        <v>132</v>
      </c>
    </row>
    <row r="23" spans="1:1" x14ac:dyDescent="0.2">
      <c r="A23" s="9" t="s">
        <v>133</v>
      </c>
    </row>
    <row r="24" spans="1:1" x14ac:dyDescent="0.2">
      <c r="A24" s="129" t="s">
        <v>134</v>
      </c>
    </row>
    <row r="25" spans="1:1" x14ac:dyDescent="0.2">
      <c r="A25" s="9" t="s">
        <v>164</v>
      </c>
    </row>
  </sheetData>
  <phoneticPr fontId="4" type="noConversion"/>
  <hyperlinks>
    <hyperlink ref="B6" r:id="rId1" xr:uid="{00000000-0004-0000-0000-000000000000}"/>
    <hyperlink ref="A24" r:id="rId2" xr:uid="{00000000-0004-0000-0000-000001000000}"/>
  </hyperlinks>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C000"/>
    <pageSetUpPr fitToPage="1"/>
  </sheetPr>
  <dimension ref="A1:K22"/>
  <sheetViews>
    <sheetView zoomScale="90" zoomScaleNormal="90" workbookViewId="0">
      <selection activeCell="B21" sqref="B21"/>
    </sheetView>
  </sheetViews>
  <sheetFormatPr defaultRowHeight="12.75" x14ac:dyDescent="0.2"/>
  <cols>
    <col min="1" max="1" width="4.85546875" customWidth="1"/>
    <col min="2" max="2" width="177.7109375" customWidth="1"/>
  </cols>
  <sheetData>
    <row r="1" spans="1:11" x14ac:dyDescent="0.2">
      <c r="A1" s="113" t="str">
        <f>'READ ME FIRST'!A1</f>
        <v>FHWA Edition: June 26, 2018</v>
      </c>
    </row>
    <row r="2" spans="1:11" x14ac:dyDescent="0.2">
      <c r="A2" s="113" t="str">
        <f>'READ ME FIRST'!A2</f>
        <v>DOT&amp;PF Central Region Revision: February 3, 2025</v>
      </c>
    </row>
    <row r="3" spans="1:11" ht="31.5" customHeight="1" x14ac:dyDescent="0.2"/>
    <row r="4" spans="1:11" ht="31.5" customHeight="1" x14ac:dyDescent="0.2"/>
    <row r="5" spans="1:11" ht="31.5" customHeight="1" x14ac:dyDescent="0.2"/>
    <row r="6" spans="1:11" ht="31.5" customHeight="1" x14ac:dyDescent="0.2"/>
    <row r="7" spans="1:11" ht="31.5" customHeight="1" x14ac:dyDescent="0.2"/>
    <row r="8" spans="1:11" ht="31.5" customHeight="1" x14ac:dyDescent="0.2"/>
    <row r="9" spans="1:11" ht="31.5" customHeight="1" x14ac:dyDescent="0.2"/>
    <row r="10" spans="1:11" ht="31.5" customHeight="1" x14ac:dyDescent="0.2"/>
    <row r="11" spans="1:11" ht="25.5" customHeight="1" x14ac:dyDescent="0.25">
      <c r="B11" s="91" t="s">
        <v>62</v>
      </c>
      <c r="C11" s="91"/>
      <c r="D11" s="91"/>
      <c r="E11" s="91"/>
      <c r="F11" s="91"/>
      <c r="G11" s="91"/>
      <c r="H11" s="91"/>
      <c r="I11" s="91"/>
      <c r="J11" s="91"/>
      <c r="K11" s="91"/>
    </row>
    <row r="12" spans="1:11" ht="28.5" x14ac:dyDescent="0.25">
      <c r="A12" s="114" t="s">
        <v>104</v>
      </c>
      <c r="B12" s="115" t="s">
        <v>150</v>
      </c>
      <c r="C12" s="91"/>
      <c r="D12" s="91"/>
      <c r="E12" s="91"/>
      <c r="F12" s="91"/>
      <c r="G12" s="91"/>
      <c r="H12" s="91"/>
      <c r="I12" s="91"/>
      <c r="J12" s="91"/>
      <c r="K12" s="91"/>
    </row>
    <row r="13" spans="1:11" ht="25.5" customHeight="1" x14ac:dyDescent="0.25">
      <c r="A13" s="114" t="s">
        <v>105</v>
      </c>
      <c r="B13" s="115" t="s">
        <v>131</v>
      </c>
      <c r="C13" s="91"/>
      <c r="D13" s="91"/>
      <c r="E13" s="91"/>
      <c r="F13" s="91"/>
      <c r="G13" s="91"/>
      <c r="H13" s="91"/>
      <c r="I13" s="91"/>
      <c r="J13" s="91"/>
      <c r="K13" s="91"/>
    </row>
    <row r="14" spans="1:11" ht="28.5" customHeight="1" x14ac:dyDescent="0.2">
      <c r="A14" s="116" t="s">
        <v>66</v>
      </c>
      <c r="B14" s="117" t="s">
        <v>64</v>
      </c>
      <c r="C14" s="90"/>
      <c r="D14" s="90"/>
      <c r="E14" s="90"/>
      <c r="F14" s="90"/>
      <c r="G14" s="90"/>
      <c r="H14" s="90"/>
      <c r="I14" s="90"/>
      <c r="J14" s="90"/>
      <c r="K14" s="90"/>
    </row>
    <row r="15" spans="1:11" ht="37.5" x14ac:dyDescent="0.2">
      <c r="A15" s="116" t="s">
        <v>67</v>
      </c>
      <c r="B15" s="118" t="s">
        <v>74</v>
      </c>
      <c r="C15" s="89"/>
      <c r="D15" s="89"/>
      <c r="E15" s="89"/>
      <c r="F15" s="89"/>
      <c r="G15" s="89"/>
      <c r="H15" s="89"/>
      <c r="I15" s="89"/>
      <c r="J15" s="89"/>
      <c r="K15" s="89"/>
    </row>
    <row r="16" spans="1:11" ht="18.75" x14ac:dyDescent="0.2">
      <c r="A16" s="116" t="s">
        <v>68</v>
      </c>
      <c r="B16" s="119" t="s">
        <v>65</v>
      </c>
      <c r="C16" s="90"/>
      <c r="D16" s="90"/>
      <c r="E16" s="90"/>
      <c r="F16" s="90"/>
      <c r="G16" s="90"/>
      <c r="H16" s="90"/>
      <c r="I16" s="90"/>
      <c r="J16" s="90"/>
      <c r="K16" s="90"/>
    </row>
    <row r="17" spans="1:11" ht="41.25" customHeight="1" x14ac:dyDescent="0.2">
      <c r="A17" s="116" t="s">
        <v>69</v>
      </c>
      <c r="B17" s="118" t="s">
        <v>84</v>
      </c>
      <c r="C17" s="89"/>
      <c r="D17" s="89"/>
      <c r="E17" s="89"/>
      <c r="F17" s="89"/>
      <c r="G17" s="89"/>
      <c r="H17" s="89"/>
      <c r="I17" s="89"/>
      <c r="J17" s="89"/>
      <c r="K17" s="89"/>
    </row>
    <row r="18" spans="1:11" ht="28.5" customHeight="1" x14ac:dyDescent="0.2">
      <c r="A18" s="116" t="s">
        <v>70</v>
      </c>
      <c r="B18" s="118" t="s">
        <v>73</v>
      </c>
      <c r="C18" s="89"/>
      <c r="D18" s="89"/>
      <c r="E18" s="89"/>
      <c r="F18" s="89"/>
      <c r="G18" s="89"/>
      <c r="H18" s="89"/>
      <c r="I18" s="89"/>
      <c r="J18" s="89"/>
      <c r="K18" s="89"/>
    </row>
    <row r="19" spans="1:11" ht="28.5" customHeight="1" x14ac:dyDescent="0.2">
      <c r="A19" s="116" t="s">
        <v>71</v>
      </c>
      <c r="B19" s="115" t="s">
        <v>83</v>
      </c>
      <c r="C19" s="89"/>
      <c r="D19" s="89"/>
      <c r="E19" s="89"/>
      <c r="F19" s="89"/>
      <c r="G19" s="89"/>
      <c r="H19" s="89"/>
      <c r="I19" s="89"/>
      <c r="J19" s="89"/>
      <c r="K19" s="89"/>
    </row>
    <row r="20" spans="1:11" ht="28.5" customHeight="1" x14ac:dyDescent="0.2">
      <c r="A20" s="116" t="s">
        <v>63</v>
      </c>
      <c r="B20" s="115" t="s">
        <v>75</v>
      </c>
      <c r="C20" s="89"/>
      <c r="D20" s="89"/>
      <c r="E20" s="89"/>
      <c r="F20" s="89"/>
      <c r="G20" s="89"/>
      <c r="H20" s="89"/>
      <c r="I20" s="89"/>
      <c r="J20" s="89"/>
      <c r="K20" s="89"/>
    </row>
    <row r="21" spans="1:11" ht="28.5" customHeight="1" x14ac:dyDescent="0.2">
      <c r="A21" s="116" t="s">
        <v>72</v>
      </c>
      <c r="B21" s="115" t="s">
        <v>85</v>
      </c>
      <c r="C21" s="89"/>
      <c r="D21" s="89"/>
      <c r="E21" s="89"/>
      <c r="F21" s="89"/>
      <c r="G21" s="89"/>
      <c r="H21" s="89"/>
      <c r="I21" s="89"/>
      <c r="J21" s="89"/>
      <c r="K21" s="89"/>
    </row>
    <row r="22" spans="1:11" ht="25.5" x14ac:dyDescent="0.2">
      <c r="A22" s="116" t="s">
        <v>113</v>
      </c>
      <c r="B22" s="120" t="s">
        <v>114</v>
      </c>
      <c r="C22" s="89"/>
      <c r="D22" s="89"/>
      <c r="E22" s="89"/>
      <c r="F22" s="89"/>
      <c r="G22" s="89"/>
      <c r="H22" s="89"/>
      <c r="I22" s="89"/>
      <c r="J22" s="89"/>
      <c r="K22" s="89"/>
    </row>
  </sheetData>
  <pageMargins left="0.25" right="0.25"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I70"/>
  <sheetViews>
    <sheetView topLeftCell="A4" zoomScale="80" zoomScaleNormal="80" workbookViewId="0">
      <selection activeCell="G29" sqref="G29"/>
    </sheetView>
  </sheetViews>
  <sheetFormatPr defaultRowHeight="12.75" x14ac:dyDescent="0.2"/>
  <cols>
    <col min="1" max="1" width="3.7109375" customWidth="1"/>
    <col min="2" max="2" width="18.7109375" customWidth="1"/>
    <col min="3" max="3" width="25.7109375" customWidth="1"/>
    <col min="4" max="4" width="18.7109375" customWidth="1"/>
    <col min="5" max="5" width="5.7109375" customWidth="1"/>
    <col min="6" max="7" width="18.7109375" customWidth="1"/>
    <col min="8" max="8" width="7.7109375" customWidth="1"/>
  </cols>
  <sheetData>
    <row r="1" spans="1:9" x14ac:dyDescent="0.2">
      <c r="A1" s="113" t="str">
        <f>'READ ME FIRST'!A1</f>
        <v>FHWA Edition: June 26, 2018</v>
      </c>
    </row>
    <row r="2" spans="1:9" x14ac:dyDescent="0.2">
      <c r="A2" s="113" t="str">
        <f>'READ ME FIRST'!A2</f>
        <v>DOT&amp;PF Central Region Revision: February 3, 2025</v>
      </c>
    </row>
    <row r="3" spans="1:9" x14ac:dyDescent="0.2">
      <c r="A3" s="113"/>
    </row>
    <row r="5" spans="1:9" ht="27.75" x14ac:dyDescent="0.4">
      <c r="A5" s="174" t="s">
        <v>139</v>
      </c>
    </row>
    <row r="6" spans="1:9" ht="23.25" x14ac:dyDescent="0.35">
      <c r="A6" s="142"/>
    </row>
    <row r="7" spans="1:9" ht="23.25" x14ac:dyDescent="0.35">
      <c r="A7" s="142" t="s">
        <v>140</v>
      </c>
      <c r="D7" s="142" t="s">
        <v>148</v>
      </c>
    </row>
    <row r="8" spans="1:9" ht="23.25" x14ac:dyDescent="0.35">
      <c r="A8" s="142" t="s">
        <v>141</v>
      </c>
      <c r="D8" s="142" t="s">
        <v>149</v>
      </c>
    </row>
    <row r="10" spans="1:9" ht="18" customHeight="1" x14ac:dyDescent="0.2">
      <c r="I10" s="68"/>
    </row>
    <row r="11" spans="1:9" ht="18" customHeight="1" x14ac:dyDescent="0.25">
      <c r="A11" s="141"/>
      <c r="C11" s="143" t="s">
        <v>142</v>
      </c>
      <c r="D11" s="165"/>
      <c r="E11" s="164" t="s">
        <v>145</v>
      </c>
      <c r="F11" s="165"/>
      <c r="G11" s="141"/>
      <c r="H11" s="141"/>
    </row>
    <row r="12" spans="1:9" ht="18" customHeight="1" x14ac:dyDescent="0.25">
      <c r="A12" s="141"/>
      <c r="C12" s="143"/>
      <c r="D12" s="140"/>
      <c r="E12" s="140"/>
      <c r="F12" s="140"/>
      <c r="G12" s="141"/>
      <c r="H12" s="141"/>
    </row>
    <row r="13" spans="1:9" ht="18" x14ac:dyDescent="0.25">
      <c r="A13" s="141"/>
      <c r="C13" s="143" t="s">
        <v>146</v>
      </c>
      <c r="D13" s="166"/>
      <c r="E13" s="140"/>
      <c r="F13" s="140"/>
      <c r="G13" s="141"/>
      <c r="H13" s="141"/>
    </row>
    <row r="14" spans="1:9" ht="18" x14ac:dyDescent="0.25">
      <c r="A14" s="141"/>
      <c r="C14" s="140"/>
      <c r="D14" s="164"/>
      <c r="E14" s="140"/>
      <c r="F14" s="140"/>
      <c r="G14" s="141"/>
      <c r="H14" s="141"/>
    </row>
    <row r="15" spans="1:9" ht="18" x14ac:dyDescent="0.25">
      <c r="A15" s="141"/>
      <c r="C15" s="143" t="s">
        <v>144</v>
      </c>
      <c r="D15" s="164" t="str">
        <f>IF('US Customary Calculations'!C22="Yes","Flared","Parallel")</f>
        <v>Parallel</v>
      </c>
      <c r="E15" s="140"/>
      <c r="F15" s="140"/>
      <c r="G15" s="141"/>
      <c r="H15" s="141"/>
    </row>
    <row r="16" spans="1:9" ht="18" x14ac:dyDescent="0.25">
      <c r="A16" s="141"/>
      <c r="B16" s="140"/>
      <c r="C16" s="140"/>
      <c r="D16" s="140"/>
      <c r="E16" s="140"/>
      <c r="F16" s="141"/>
      <c r="G16" s="141"/>
      <c r="H16" s="141"/>
    </row>
    <row r="17" spans="1:8" ht="15" x14ac:dyDescent="0.2">
      <c r="A17" s="141"/>
      <c r="B17" s="141"/>
      <c r="C17" s="141"/>
      <c r="D17" s="141"/>
      <c r="E17" s="141"/>
      <c r="F17" s="141"/>
      <c r="G17" s="141"/>
      <c r="H17" s="141"/>
    </row>
    <row r="19" spans="1:8" ht="13.5" thickBot="1" x14ac:dyDescent="0.25"/>
    <row r="20" spans="1:8" ht="18.75" thickTop="1" x14ac:dyDescent="0.25">
      <c r="B20" s="185" t="s">
        <v>92</v>
      </c>
      <c r="C20" s="186"/>
      <c r="D20" s="186"/>
      <c r="E20" s="186"/>
      <c r="F20" s="186"/>
      <c r="G20" s="187"/>
    </row>
    <row r="21" spans="1:8" ht="12.75" customHeight="1" x14ac:dyDescent="0.25">
      <c r="B21" s="144"/>
      <c r="C21" s="145"/>
      <c r="D21" s="145"/>
      <c r="E21" s="145"/>
      <c r="F21" s="145"/>
      <c r="G21" s="146"/>
    </row>
    <row r="22" spans="1:8" ht="18" x14ac:dyDescent="0.25">
      <c r="B22" s="147"/>
      <c r="C22" s="148"/>
      <c r="D22" s="149"/>
      <c r="E22" s="148"/>
      <c r="F22" s="149" t="s">
        <v>52</v>
      </c>
      <c r="G22" s="150"/>
    </row>
    <row r="23" spans="1:8" ht="18" x14ac:dyDescent="0.25">
      <c r="B23" s="151"/>
      <c r="C23" s="148"/>
      <c r="D23" s="149"/>
      <c r="E23" s="145"/>
      <c r="F23" s="149" t="s">
        <v>51</v>
      </c>
      <c r="G23" s="176">
        <f>'US Customary Calculations'!G69</f>
        <v>250</v>
      </c>
    </row>
    <row r="24" spans="1:8" ht="18.75" thickBot="1" x14ac:dyDescent="0.3">
      <c r="B24" s="152"/>
      <c r="C24" s="153"/>
      <c r="D24" s="154"/>
      <c r="E24" s="153"/>
      <c r="F24" s="153" t="s">
        <v>47</v>
      </c>
      <c r="G24" s="175" t="str">
        <f>'US Customary Calculations'!G70</f>
        <v xml:space="preserve"> </v>
      </c>
    </row>
    <row r="25" spans="1:8" ht="19.5" thickTop="1" thickBot="1" x14ac:dyDescent="0.3">
      <c r="B25" s="140"/>
      <c r="C25" s="140"/>
      <c r="D25" s="140"/>
      <c r="E25" s="140"/>
      <c r="F25" s="140"/>
      <c r="G25" s="140"/>
    </row>
    <row r="26" spans="1:8" ht="18.75" thickTop="1" x14ac:dyDescent="0.25">
      <c r="B26" s="185" t="s">
        <v>93</v>
      </c>
      <c r="C26" s="186"/>
      <c r="D26" s="186"/>
      <c r="E26" s="186"/>
      <c r="F26" s="186"/>
      <c r="G26" s="187"/>
    </row>
    <row r="27" spans="1:8" ht="18" x14ac:dyDescent="0.25">
      <c r="B27" s="144"/>
      <c r="C27" s="145"/>
      <c r="D27" s="145"/>
      <c r="E27" s="145"/>
      <c r="F27" s="145"/>
      <c r="G27" s="146"/>
    </row>
    <row r="28" spans="1:8" ht="18" x14ac:dyDescent="0.25">
      <c r="B28" s="147"/>
      <c r="C28" s="148"/>
      <c r="D28" s="149"/>
      <c r="E28" s="148"/>
      <c r="F28" s="149" t="s">
        <v>52</v>
      </c>
      <c r="G28" s="150"/>
    </row>
    <row r="29" spans="1:8" ht="18" x14ac:dyDescent="0.25">
      <c r="B29" s="151"/>
      <c r="C29" s="148"/>
      <c r="D29" s="149"/>
      <c r="E29" s="145"/>
      <c r="F29" s="149" t="s">
        <v>51</v>
      </c>
      <c r="G29" s="176">
        <f>'US Customary Calculations'!O69</f>
        <v>250</v>
      </c>
    </row>
    <row r="30" spans="1:8" ht="18.75" thickBot="1" x14ac:dyDescent="0.3">
      <c r="B30" s="152"/>
      <c r="C30" s="153"/>
      <c r="D30" s="154"/>
      <c r="E30" s="153"/>
      <c r="F30" s="153" t="s">
        <v>47</v>
      </c>
      <c r="G30" s="175" t="str">
        <f>'US Customary Calculations'!O70</f>
        <v xml:space="preserve"> </v>
      </c>
    </row>
    <row r="31" spans="1:8" ht="19.5" thickTop="1" thickBot="1" x14ac:dyDescent="0.3">
      <c r="B31" s="155"/>
      <c r="C31" s="155"/>
      <c r="D31" s="156"/>
      <c r="E31" s="155"/>
      <c r="F31" s="155"/>
      <c r="G31" s="157"/>
    </row>
    <row r="32" spans="1:8" ht="18.75" thickTop="1" x14ac:dyDescent="0.25">
      <c r="B32" s="185" t="s">
        <v>96</v>
      </c>
      <c r="C32" s="186"/>
      <c r="D32" s="186"/>
      <c r="E32" s="186"/>
      <c r="F32" s="186"/>
      <c r="G32" s="187"/>
    </row>
    <row r="33" spans="2:7" ht="18" x14ac:dyDescent="0.2">
      <c r="B33" s="158"/>
      <c r="C33" s="159"/>
      <c r="D33" s="159"/>
      <c r="E33" s="159"/>
      <c r="F33" s="159"/>
      <c r="G33" s="160"/>
    </row>
    <row r="34" spans="2:7" ht="18" x14ac:dyDescent="0.2">
      <c r="B34" s="188" t="s">
        <v>161</v>
      </c>
      <c r="C34" s="190"/>
      <c r="D34" s="190"/>
      <c r="E34" s="190"/>
      <c r="F34" s="190"/>
      <c r="G34" s="183" t="str">
        <f>IF($D$13&gt;0,ROUNDUP($D$13/12.5,0)*12.5," ")</f>
        <v xml:space="preserve"> </v>
      </c>
    </row>
    <row r="35" spans="2:7" ht="18.75" thickBot="1" x14ac:dyDescent="0.25">
      <c r="B35" s="161"/>
      <c r="C35" s="162"/>
      <c r="D35" s="162"/>
      <c r="E35" s="162"/>
      <c r="F35" s="162"/>
      <c r="G35" s="163"/>
    </row>
    <row r="36" spans="2:7" ht="19.5" thickTop="1" thickBot="1" x14ac:dyDescent="0.3">
      <c r="B36" s="91"/>
      <c r="C36" s="91"/>
      <c r="D36" s="91"/>
      <c r="E36" s="91"/>
      <c r="F36" s="91"/>
      <c r="G36" s="91"/>
    </row>
    <row r="37" spans="2:7" ht="18.75" thickTop="1" x14ac:dyDescent="0.25">
      <c r="B37" s="185" t="s">
        <v>138</v>
      </c>
      <c r="C37" s="186"/>
      <c r="D37" s="186"/>
      <c r="E37" s="186"/>
      <c r="F37" s="186"/>
      <c r="G37" s="187"/>
    </row>
    <row r="38" spans="2:7" ht="18" x14ac:dyDescent="0.2">
      <c r="B38" s="158"/>
      <c r="C38" s="159"/>
      <c r="D38" s="159"/>
      <c r="E38" s="159"/>
      <c r="F38" s="159"/>
      <c r="G38" s="160"/>
    </row>
    <row r="39" spans="2:7" ht="18" x14ac:dyDescent="0.2">
      <c r="B39" s="188" t="s">
        <v>147</v>
      </c>
      <c r="C39" s="189"/>
      <c r="D39" s="189"/>
      <c r="E39" s="189"/>
      <c r="F39" s="189"/>
      <c r="G39" s="184" t="str">
        <f>IF(D13&gt;0,IF(D15="Flared",G24+G30+G34,G23+G29+G34)," ")</f>
        <v xml:space="preserve"> </v>
      </c>
    </row>
    <row r="40" spans="2:7" ht="18.75" thickBot="1" x14ac:dyDescent="0.25">
      <c r="B40" s="161"/>
      <c r="C40" s="162"/>
      <c r="D40" s="162"/>
      <c r="E40" s="162"/>
      <c r="F40" s="162"/>
      <c r="G40" s="163"/>
    </row>
    <row r="41" spans="2:7" ht="13.5" thickTop="1" x14ac:dyDescent="0.2"/>
    <row r="67" ht="16.5" customHeight="1" x14ac:dyDescent="0.2"/>
    <row r="68" ht="16.5" customHeight="1" x14ac:dyDescent="0.2"/>
    <row r="69" ht="12.75" customHeight="1" x14ac:dyDescent="0.2"/>
    <row r="70" ht="12.75" customHeight="1" x14ac:dyDescent="0.2"/>
  </sheetData>
  <mergeCells count="6">
    <mergeCell ref="B20:G20"/>
    <mergeCell ref="B37:G37"/>
    <mergeCell ref="B39:F39"/>
    <mergeCell ref="B26:G26"/>
    <mergeCell ref="B32:G32"/>
    <mergeCell ref="B34:F34"/>
  </mergeCells>
  <pageMargins left="0.75" right="0.75" top="1" bottom="1" header="0.5" footer="0.5"/>
  <pageSetup scale="67" orientation="portrait" r:id="rId1"/>
  <headerFooter alignWithMargins="0">
    <oddHeader xml:space="preserve">&amp;L
</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3"/>
  </sheetPr>
  <dimension ref="A1:Q84"/>
  <sheetViews>
    <sheetView tabSelected="1" topLeftCell="A4" zoomScale="80" zoomScaleNormal="80" workbookViewId="0">
      <selection activeCell="Q12" sqref="Q12"/>
    </sheetView>
  </sheetViews>
  <sheetFormatPr defaultRowHeight="12.75" x14ac:dyDescent="0.2"/>
  <cols>
    <col min="1" max="1" width="3.7109375" customWidth="1"/>
    <col min="2" max="2" width="20.7109375" customWidth="1"/>
    <col min="3" max="3" width="33.5703125" bestFit="1" customWidth="1"/>
    <col min="4" max="4" width="17.7109375" customWidth="1"/>
    <col min="6" max="6" width="10.85546875" customWidth="1"/>
    <col min="7" max="7" width="10.140625" customWidth="1"/>
    <col min="8" max="8" width="7.7109375" customWidth="1"/>
    <col min="9" max="9" width="5" customWidth="1"/>
    <col min="10" max="10" width="19.5703125" customWidth="1"/>
    <col min="11" max="11" width="33.5703125" bestFit="1" customWidth="1"/>
    <col min="12" max="12" width="17.140625" customWidth="1"/>
    <col min="13" max="13" width="9.140625" customWidth="1"/>
    <col min="14" max="14" width="10.85546875" customWidth="1"/>
  </cols>
  <sheetData>
    <row r="1" spans="1:17" x14ac:dyDescent="0.2">
      <c r="A1" s="113" t="str">
        <f>'READ ME FIRST'!A1</f>
        <v>FHWA Edition: June 26, 2018</v>
      </c>
      <c r="J1" s="113" t="str">
        <f>'READ ME FIRST'!A1</f>
        <v>FHWA Edition: June 26, 2018</v>
      </c>
    </row>
    <row r="2" spans="1:17" x14ac:dyDescent="0.2">
      <c r="A2" s="113" t="str">
        <f>'READ ME FIRST'!A2</f>
        <v>DOT&amp;PF Central Region Revision: February 3, 2025</v>
      </c>
      <c r="J2" s="113" t="str">
        <f>'READ ME FIRST'!A2</f>
        <v>DOT&amp;PF Central Region Revision: February 3, 2025</v>
      </c>
    </row>
    <row r="3" spans="1:17" x14ac:dyDescent="0.2">
      <c r="A3" s="113"/>
      <c r="J3" s="113"/>
    </row>
    <row r="4" spans="1:17" ht="16.5" thickBot="1" x14ac:dyDescent="0.3">
      <c r="A4" s="104" t="s">
        <v>87</v>
      </c>
      <c r="C4" s="108" t="s">
        <v>100</v>
      </c>
      <c r="J4" s="104" t="s">
        <v>87</v>
      </c>
      <c r="L4" s="108" t="s">
        <v>100</v>
      </c>
    </row>
    <row r="5" spans="1:17" x14ac:dyDescent="0.2">
      <c r="B5" s="22" t="s">
        <v>33</v>
      </c>
      <c r="C5" s="21"/>
      <c r="E5" s="23" t="s">
        <v>34</v>
      </c>
      <c r="F5" s="16"/>
      <c r="J5" s="22" t="s">
        <v>33</v>
      </c>
      <c r="K5" s="21"/>
      <c r="M5" s="23" t="s">
        <v>34</v>
      </c>
      <c r="N5" s="16"/>
    </row>
    <row r="6" spans="1:17" x14ac:dyDescent="0.2">
      <c r="B6" s="19" t="s">
        <v>32</v>
      </c>
      <c r="C6" s="66">
        <v>70</v>
      </c>
      <c r="E6" s="19" t="s">
        <v>25</v>
      </c>
      <c r="F6" s="37">
        <f>VLOOKUP(C6,EShyLine,2)</f>
        <v>9</v>
      </c>
      <c r="G6" s="13" t="s">
        <v>36</v>
      </c>
      <c r="I6" s="68"/>
      <c r="J6" s="19" t="s">
        <v>32</v>
      </c>
      <c r="K6" s="131">
        <f>C6</f>
        <v>70</v>
      </c>
      <c r="M6" s="19" t="s">
        <v>25</v>
      </c>
      <c r="N6" s="37">
        <f>F6</f>
        <v>9</v>
      </c>
      <c r="O6" s="13" t="s">
        <v>36</v>
      </c>
    </row>
    <row r="7" spans="1:17" ht="13.5" thickBot="1" x14ac:dyDescent="0.25">
      <c r="B7" s="20" t="s">
        <v>40</v>
      </c>
      <c r="C7" s="67">
        <v>5000</v>
      </c>
      <c r="E7" s="19" t="s">
        <v>26</v>
      </c>
      <c r="F7" s="37">
        <f>VLOOKUP(C6,ERunout,IF(C7&lt;=1000,5,IF(C7&lt;=5000,4,IF(C7&lt;=10000,3,2))))</f>
        <v>290</v>
      </c>
      <c r="G7" s="13" t="s">
        <v>35</v>
      </c>
      <c r="I7" s="68"/>
      <c r="J7" s="20" t="s">
        <v>40</v>
      </c>
      <c r="K7" s="132">
        <f>C7</f>
        <v>5000</v>
      </c>
      <c r="M7" s="19" t="s">
        <v>26</v>
      </c>
      <c r="N7" s="37">
        <f>F7</f>
        <v>290</v>
      </c>
      <c r="O7" s="13" t="s">
        <v>35</v>
      </c>
    </row>
    <row r="8" spans="1:17" ht="18" customHeight="1" x14ac:dyDescent="0.2">
      <c r="B8" s="169"/>
      <c r="C8" s="167"/>
      <c r="D8" s="68"/>
      <c r="E8" s="50" t="str">
        <f>IF(C6&gt;=45,"Lc"," ")</f>
        <v>Lc</v>
      </c>
      <c r="F8" s="51">
        <f>IF(C6&gt;=45,IF(C6&lt;=50,VLOOKUP(C7,EClear50,IF(C13='USCust RDG 2011'!E42,3,2)),IF(C6&lt;=55,VLOOKUP(C7,EClear55,IF(C13='USCust RDG 2011'!E42,3,2)),IF(C6&lt;=60,VLOOKUP(C7,EClear60,IF(C13='USCust RDG 2011'!E42,3,2)),IF(C6&lt;=70,VLOOKUP(C7,EClear70,IF(C13='USCust RDG 2011'!E42,3,2))))))," ")</f>
        <v>30</v>
      </c>
      <c r="G8" s="204" t="s">
        <v>37</v>
      </c>
      <c r="H8" s="68"/>
      <c r="I8" s="68"/>
      <c r="J8" s="169"/>
      <c r="K8" s="167"/>
      <c r="L8" s="68"/>
      <c r="M8" s="50" t="str">
        <f>IF(K6&gt;=45,"Lc"," ")</f>
        <v>Lc</v>
      </c>
      <c r="N8" s="51">
        <f>F8</f>
        <v>30</v>
      </c>
      <c r="O8" s="204" t="s">
        <v>37</v>
      </c>
      <c r="Q8" s="68"/>
    </row>
    <row r="9" spans="1:17" ht="18" customHeight="1" thickBot="1" x14ac:dyDescent="0.25">
      <c r="B9" s="170"/>
      <c r="C9" s="168"/>
      <c r="D9" s="68"/>
      <c r="E9" s="105" t="str">
        <f>IF(C6&lt;45,"Lc"," ")</f>
        <v xml:space="preserve"> </v>
      </c>
      <c r="F9" s="106" t="str">
        <f>IF(C6&lt;45,IF(C6&lt;=20,VLOOKUP(C7,EClear20,IF(C13='USCust RDG 2011'!E42,3,2)),IF(C6&lt;=30,VLOOKUP(C7,EClear30,IF(C13='USCust RDG 2011'!E42,3,2)),IF(C6&lt;=35,VLOOKUP(C7,EClear35,IF(C13='USCust RDG 2011'!E42,3,2)),IF(C6&lt;=40,VLOOKUP(C7,EClear40,IF(C13='USCust RDG 2011'!E42,3,2))))))," ")</f>
        <v xml:space="preserve"> </v>
      </c>
      <c r="G9" s="205"/>
      <c r="J9" s="170"/>
      <c r="K9" s="168"/>
      <c r="L9" s="68"/>
      <c r="M9" s="105" t="str">
        <f>IF(K6&lt;45,"Lc"," ")</f>
        <v xml:space="preserve"> </v>
      </c>
      <c r="N9" s="106" t="str">
        <f>IF(K6&lt;45,IF(K6&lt;=20,VLOOKUP(K7,EClear20,IF(L13='USCust RDG 2011'!N42,3,2)),IF(K6&lt;=30,VLOOKUP(K7,EClear30,IF(L13='USCust RDG 2011'!N42,3,2)),IF(K6&lt;=35,VLOOKUP(K7,EClear35,IF(L13='USCust RDG 2011'!N42,3,2)),IF(K6&lt;=40,VLOOKUP(K7,EClear40,IF(L13='USCust RDG 2011'!N42,3,2))))))," ")</f>
        <v xml:space="preserve"> </v>
      </c>
      <c r="O9" s="205"/>
    </row>
    <row r="10" spans="1:17" ht="18" customHeight="1" x14ac:dyDescent="0.2">
      <c r="B10" s="170"/>
      <c r="C10" s="168"/>
      <c r="D10" s="68"/>
      <c r="J10" s="170"/>
      <c r="K10" s="168"/>
    </row>
    <row r="11" spans="1:17" x14ac:dyDescent="0.2">
      <c r="B11" s="26"/>
      <c r="C11" s="26"/>
      <c r="D11" s="68"/>
    </row>
    <row r="12" spans="1:17" ht="19.5" thickBot="1" x14ac:dyDescent="0.35">
      <c r="A12" s="133" t="s">
        <v>135</v>
      </c>
      <c r="I12" s="133" t="s">
        <v>136</v>
      </c>
    </row>
    <row r="13" spans="1:17" ht="13.5" thickBot="1" x14ac:dyDescent="0.25">
      <c r="B13" s="99" t="s">
        <v>28</v>
      </c>
      <c r="C13" s="70" t="s">
        <v>102</v>
      </c>
      <c r="E13" s="102" t="s">
        <v>29</v>
      </c>
      <c r="F13" s="103">
        <f>MIN(C14,MAX(F8,F9,E20,E25))</f>
        <v>30</v>
      </c>
      <c r="J13" s="99" t="s">
        <v>28</v>
      </c>
      <c r="K13" s="70" t="s">
        <v>102</v>
      </c>
      <c r="M13" s="102" t="s">
        <v>29</v>
      </c>
      <c r="N13" s="103">
        <f>MIN(K14,MAX(N8,N9,M20,M25))</f>
        <v>30</v>
      </c>
    </row>
    <row r="14" spans="1:17" x14ac:dyDescent="0.2">
      <c r="B14" s="100" t="s">
        <v>107</v>
      </c>
      <c r="C14" s="66"/>
      <c r="E14" s="13" t="s">
        <v>38</v>
      </c>
      <c r="J14" s="100" t="s">
        <v>107</v>
      </c>
      <c r="K14" s="66"/>
      <c r="M14" s="13" t="s">
        <v>38</v>
      </c>
    </row>
    <row r="15" spans="1:17" ht="13.5" thickBot="1" x14ac:dyDescent="0.25">
      <c r="B15" s="101" t="s">
        <v>94</v>
      </c>
      <c r="C15" s="67"/>
      <c r="J15" s="101" t="s">
        <v>95</v>
      </c>
      <c r="K15" s="67"/>
    </row>
    <row r="16" spans="1:17" ht="13.5" thickBot="1" x14ac:dyDescent="0.25">
      <c r="B16" s="123"/>
      <c r="C16" s="124"/>
      <c r="D16" s="68"/>
      <c r="E16" s="68"/>
      <c r="F16" s="112"/>
      <c r="G16" s="112"/>
      <c r="H16" s="112"/>
      <c r="J16" s="123"/>
      <c r="K16" s="124"/>
      <c r="L16" s="68"/>
      <c r="M16" s="68"/>
      <c r="N16" s="112"/>
      <c r="O16" s="112"/>
      <c r="P16" s="112"/>
    </row>
    <row r="17" spans="2:16" x14ac:dyDescent="0.2">
      <c r="B17" s="111" t="s">
        <v>127</v>
      </c>
      <c r="C17" s="70" t="s">
        <v>45</v>
      </c>
      <c r="D17" s="111" t="s">
        <v>53</v>
      </c>
      <c r="E17" s="70" t="s">
        <v>46</v>
      </c>
      <c r="F17" s="112"/>
      <c r="G17" s="112"/>
      <c r="H17" s="112"/>
      <c r="J17" s="111" t="s">
        <v>127</v>
      </c>
      <c r="K17" s="70" t="s">
        <v>45</v>
      </c>
      <c r="L17" s="111" t="s">
        <v>53</v>
      </c>
      <c r="M17" s="70" t="s">
        <v>46</v>
      </c>
      <c r="N17" s="112"/>
      <c r="O17" s="112"/>
      <c r="P17" s="112"/>
    </row>
    <row r="18" spans="2:16" x14ac:dyDescent="0.2">
      <c r="B18" s="38" t="str">
        <f>IF($C$17="Yes","P (ft)"," ")</f>
        <v>P (ft)</v>
      </c>
      <c r="C18" s="69">
        <v>1.5</v>
      </c>
      <c r="D18" s="19" t="str">
        <f>IF(E17="Yes", "Curve Radius (ft)"," ")</f>
        <v xml:space="preserve"> </v>
      </c>
      <c r="E18" s="69">
        <v>2300</v>
      </c>
      <c r="F18" s="112"/>
      <c r="G18" s="112"/>
      <c r="H18" s="112"/>
      <c r="J18" s="38" t="str">
        <f>IF($K$17="Yes","P (ft)"," ")</f>
        <v>P (ft)</v>
      </c>
      <c r="K18" s="69">
        <v>1.5</v>
      </c>
      <c r="L18" s="19" t="str">
        <f>IF(M17="Yes", "Curve Radius (ft)"," ")</f>
        <v xml:space="preserve"> </v>
      </c>
      <c r="M18" s="69">
        <v>1970</v>
      </c>
      <c r="N18" s="112"/>
      <c r="O18" s="112"/>
      <c r="P18" s="112"/>
    </row>
    <row r="19" spans="2:16" x14ac:dyDescent="0.2">
      <c r="B19" s="38"/>
      <c r="C19" s="69"/>
      <c r="D19" s="19" t="str">
        <f>IF(E17="Yes","Kcz Factor"," ")</f>
        <v xml:space="preserve"> </v>
      </c>
      <c r="E19" s="37" t="str">
        <f>IF(E17="Yes",IF(C6&gt;=40,VLOOKUP(C6,ECurveCorrection,HLOOKUP(E18,ECurves,2)),1)," ")</f>
        <v xml:space="preserve"> </v>
      </c>
      <c r="F19" s="112"/>
      <c r="G19" s="112"/>
      <c r="H19" s="112"/>
      <c r="J19" s="38"/>
      <c r="K19" s="69"/>
      <c r="L19" s="19" t="str">
        <f>IF(M17="Yes","Kcz Factor"," ")</f>
        <v xml:space="preserve"> </v>
      </c>
      <c r="M19" s="37" t="str">
        <f>IF(M17="Yes",IF(C6&gt;=40,VLOOKUP(C6,ECurveCorrection,HLOOKUP(M18,ECurves,2)),1)," ")</f>
        <v xml:space="preserve"> </v>
      </c>
      <c r="N19" s="112"/>
      <c r="O19" s="112"/>
      <c r="P19" s="112"/>
    </row>
    <row r="20" spans="2:16" ht="13.5" thickBot="1" x14ac:dyDescent="0.25">
      <c r="B20" s="125"/>
      <c r="C20" s="172"/>
      <c r="D20" s="20" t="str">
        <f>IF(E17="Yes","Adjusted Lc"," ")</f>
        <v xml:space="preserve"> </v>
      </c>
      <c r="E20" s="71" t="str">
        <f>IF(E17="Yes",IF(C6&gt;=45,F8*E19,F9*E19)," ")</f>
        <v xml:space="preserve"> </v>
      </c>
      <c r="F20" s="112"/>
      <c r="G20" s="112"/>
      <c r="H20" s="112"/>
      <c r="J20" s="125"/>
      <c r="K20" s="172"/>
      <c r="L20" s="20" t="str">
        <f>IF(M17="Yes","Adjusted Lc"," ")</f>
        <v xml:space="preserve"> </v>
      </c>
      <c r="M20" s="71" t="str">
        <f>IF(M17="Yes",IF(C6&gt;=45,F8*M19,F9*M19)," ")</f>
        <v xml:space="preserve"> </v>
      </c>
      <c r="N20" s="112"/>
      <c r="O20" s="112"/>
      <c r="P20" s="112"/>
    </row>
    <row r="21" spans="2:16" ht="13.5" thickBot="1" x14ac:dyDescent="0.25"/>
    <row r="22" spans="2:16" ht="25.5" customHeight="1" x14ac:dyDescent="0.2">
      <c r="B22" s="136" t="s">
        <v>143</v>
      </c>
      <c r="C22" s="137" t="s">
        <v>46</v>
      </c>
      <c r="D22" s="138" t="s">
        <v>53</v>
      </c>
      <c r="E22" s="139" t="s">
        <v>46</v>
      </c>
      <c r="F22" s="206" t="str">
        <f>IF(E22="Yes","Barrier length may end where Lr intersects the tangential runout path according to RDG Figure 5-48."," ")</f>
        <v xml:space="preserve"> </v>
      </c>
      <c r="G22" s="207"/>
      <c r="H22" s="207"/>
      <c r="J22" s="173" t="s">
        <v>143</v>
      </c>
      <c r="K22" s="137" t="s">
        <v>46</v>
      </c>
      <c r="L22" s="111" t="s">
        <v>53</v>
      </c>
      <c r="M22" s="70" t="s">
        <v>46</v>
      </c>
      <c r="N22" s="206" t="str">
        <f>IF(M22="Yes","Barrier length may end where Lr intersects the tangential runout path according to RDG Figure 5-48."," ")</f>
        <v xml:space="preserve"> </v>
      </c>
      <c r="O22" s="207"/>
      <c r="P22" s="207"/>
    </row>
    <row r="23" spans="2:16" ht="12.75" customHeight="1" x14ac:dyDescent="0.2">
      <c r="B23" s="38" t="str">
        <f>IF($C$22="Yes","L1, start system flare"," ")</f>
        <v xml:space="preserve"> </v>
      </c>
      <c r="C23" s="69">
        <v>35</v>
      </c>
      <c r="D23" s="19" t="str">
        <f>IF(E22="Yes", "Curve Radius (ft)"," ")</f>
        <v xml:space="preserve"> </v>
      </c>
      <c r="E23" s="69">
        <v>2300</v>
      </c>
      <c r="F23" s="206"/>
      <c r="G23" s="207"/>
      <c r="H23" s="207"/>
      <c r="J23" s="38" t="str">
        <f>IF($K$22="Yes","L1, start system flare"," ")</f>
        <v xml:space="preserve"> </v>
      </c>
      <c r="K23" s="69">
        <v>35</v>
      </c>
      <c r="L23" s="19" t="str">
        <f>IF(M22="Yes", "Curve Radius (ft)"," ")</f>
        <v xml:space="preserve"> </v>
      </c>
      <c r="M23" s="69">
        <v>1970</v>
      </c>
      <c r="N23" s="206"/>
      <c r="O23" s="207"/>
      <c r="P23" s="207"/>
    </row>
    <row r="24" spans="2:16" ht="12.75" customHeight="1" x14ac:dyDescent="0.2">
      <c r="B24" s="38" t="str">
        <f>IF($C$22="Yes","P (ft)"," ")</f>
        <v xml:space="preserve"> </v>
      </c>
      <c r="C24" s="69">
        <v>1.5</v>
      </c>
      <c r="D24" s="19" t="str">
        <f>IF(E22="Yes","Kcz Factor"," ")</f>
        <v xml:space="preserve"> </v>
      </c>
      <c r="E24" s="37" t="str">
        <f>IF(E22="Yes",IF(C6&gt;=40,VLOOKUP(C6,ECurveCorrection,HLOOKUP(E23,ECurves,2)),1)," ")</f>
        <v xml:space="preserve"> </v>
      </c>
      <c r="F24" s="206"/>
      <c r="G24" s="207"/>
      <c r="H24" s="207"/>
      <c r="J24" s="38" t="str">
        <f>IF($K$22="Yes","P (ft)"," ")</f>
        <v xml:space="preserve"> </v>
      </c>
      <c r="K24" s="69">
        <v>1.5</v>
      </c>
      <c r="L24" s="19" t="str">
        <f>IF(M22="Yes","Kcz Factor"," ")</f>
        <v xml:space="preserve"> </v>
      </c>
      <c r="M24" s="37" t="str">
        <f>IF(M22="Yes",IF(C6&gt;=40,VLOOKUP(C6,ECurveCorrection,HLOOKUP(M23,ECurves,2)),1)," ")</f>
        <v xml:space="preserve"> </v>
      </c>
      <c r="N24" s="206"/>
      <c r="O24" s="207"/>
      <c r="P24" s="207"/>
    </row>
    <row r="25" spans="2:16" x14ac:dyDescent="0.2">
      <c r="B25" s="38" t="str">
        <f>IF($C$22="yes","a"," ")</f>
        <v xml:space="preserve"> </v>
      </c>
      <c r="C25" s="171" t="str">
        <f>IF($C$22="Yes",VLOOKUP(C6,EFlare,IF(C15&lt;F6,2,4))," ")</f>
        <v xml:space="preserve"> </v>
      </c>
      <c r="D25" s="19" t="str">
        <f>IF(E22="Yes","Adjusted Lc"," ")</f>
        <v xml:space="preserve"> </v>
      </c>
      <c r="E25" s="37" t="str">
        <f>IF(E22="Yes",IF(C6&gt;=45,F8*E24,F9*E24)," ")</f>
        <v xml:space="preserve"> </v>
      </c>
      <c r="F25" s="206"/>
      <c r="G25" s="207"/>
      <c r="H25" s="207"/>
      <c r="J25" s="38" t="str">
        <f>IF($K$22="yes","a"," ")</f>
        <v xml:space="preserve"> </v>
      </c>
      <c r="K25" s="171" t="str">
        <f>IF($K$22="Yes",VLOOKUP(C6,EFlare,IF(C15&lt;F6,2,4))," ")</f>
        <v xml:space="preserve"> </v>
      </c>
      <c r="L25" s="19" t="str">
        <f>IF(M22="Yes","Adjusted Lc"," ")</f>
        <v xml:space="preserve"> </v>
      </c>
      <c r="M25" s="37" t="str">
        <f>IF(M22="Yes",IF(C6&gt;=45,F8*M24,F9*M24)," ")</f>
        <v xml:space="preserve"> </v>
      </c>
      <c r="N25" s="206"/>
      <c r="O25" s="207"/>
      <c r="P25" s="207"/>
    </row>
    <row r="26" spans="2:16" ht="13.5" thickBot="1" x14ac:dyDescent="0.25">
      <c r="B26" s="39"/>
      <c r="C26" s="40" t="str">
        <f>IF(C22="Yes","of a/b system flare, b=1"," ")</f>
        <v xml:space="preserve"> </v>
      </c>
      <c r="D26" s="126"/>
      <c r="E26" s="127"/>
      <c r="F26" s="206"/>
      <c r="G26" s="207"/>
      <c r="H26" s="207"/>
      <c r="J26" s="39"/>
      <c r="K26" s="40" t="str">
        <f>IF(K22="Yes","of a/b system flare, b=1"," ")</f>
        <v xml:space="preserve"> </v>
      </c>
      <c r="L26" s="126"/>
      <c r="M26" s="127"/>
      <c r="N26" s="206"/>
      <c r="O26" s="207"/>
      <c r="P26" s="207"/>
    </row>
    <row r="27" spans="2:16" ht="13.5" thickBot="1" x14ac:dyDescent="0.25">
      <c r="B27" s="123"/>
      <c r="C27" s="124"/>
      <c r="D27" s="68"/>
      <c r="E27" s="68"/>
      <c r="F27" s="112"/>
      <c r="G27" s="112"/>
      <c r="H27" s="112"/>
      <c r="J27" s="123"/>
      <c r="K27" s="124"/>
      <c r="L27" s="68"/>
      <c r="M27" s="68"/>
      <c r="N27" s="112"/>
      <c r="O27" s="112"/>
      <c r="P27" s="112"/>
    </row>
    <row r="28" spans="2:16" x14ac:dyDescent="0.2">
      <c r="B28" s="52" t="s">
        <v>54</v>
      </c>
      <c r="C28" s="70" t="s">
        <v>46</v>
      </c>
      <c r="D28" s="72" t="s">
        <v>106</v>
      </c>
      <c r="E28" s="21" t="str">
        <f>IF(C6&lt;25,"TL-2","TL-3")</f>
        <v>TL-3</v>
      </c>
      <c r="F28" s="98" t="str">
        <f>IF(E28="TL-2","OK for &lt;=45 mph","OK meets Section 710")</f>
        <v>OK meets Section 710</v>
      </c>
      <c r="G28" s="68"/>
      <c r="J28" s="52" t="s">
        <v>54</v>
      </c>
      <c r="K28" s="70" t="s">
        <v>46</v>
      </c>
      <c r="L28" s="72" t="s">
        <v>106</v>
      </c>
      <c r="M28" s="21" t="str">
        <f>IF(C6&lt;25,"TL-2","TL-3")</f>
        <v>TL-3</v>
      </c>
      <c r="N28" s="98" t="str">
        <f>IF(M28="TL-2","OK for &lt;=45 mph","OK meets Section 710")</f>
        <v>OK meets Section 710</v>
      </c>
      <c r="O28" s="68"/>
    </row>
    <row r="29" spans="2:16" ht="13.5" thickBot="1" x14ac:dyDescent="0.25">
      <c r="B29" s="20" t="str">
        <f>IF($C$28="yes","Length (ft)"," ")</f>
        <v xml:space="preserve"> </v>
      </c>
      <c r="C29" s="73">
        <v>20</v>
      </c>
      <c r="D29" s="74" t="s">
        <v>108</v>
      </c>
      <c r="E29" s="75">
        <v>50</v>
      </c>
      <c r="F29" s="208" t="str">
        <f>IF(AND(E28="TL-3",E29&lt;37.5),"Use OTHER terminal!",IF(E29=40.75,"SBT TL-2 Terminal"," "))</f>
        <v xml:space="preserve"> </v>
      </c>
      <c r="G29" s="209"/>
      <c r="J29" s="20" t="str">
        <f>IF($K$28="yes","Length (ft)"," ")</f>
        <v xml:space="preserve"> </v>
      </c>
      <c r="K29" s="73">
        <v>18</v>
      </c>
      <c r="L29" s="74" t="s">
        <v>108</v>
      </c>
      <c r="M29" s="75">
        <v>50</v>
      </c>
      <c r="N29" s="208" t="str">
        <f>IF(AND(M28="TL-3",M29&lt;37.5),"Use OTHER terminal!",IF(M29=40.75,"SBT TL-2 Terminal"," "))</f>
        <v xml:space="preserve"> </v>
      </c>
      <c r="O29" s="209"/>
    </row>
    <row r="30" spans="2:16" ht="13.5" thickBot="1" x14ac:dyDescent="0.25">
      <c r="H30" s="14"/>
    </row>
    <row r="31" spans="2:16" x14ac:dyDescent="0.2">
      <c r="B31" s="23" t="s">
        <v>118</v>
      </c>
      <c r="C31" s="15"/>
      <c r="D31" s="15"/>
      <c r="E31" s="24"/>
      <c r="F31" s="24"/>
      <c r="G31" s="25"/>
      <c r="H31" s="14"/>
      <c r="J31" s="23" t="str">
        <f>B31</f>
        <v>LON for Tangent</v>
      </c>
      <c r="K31" s="15"/>
      <c r="L31" s="15"/>
      <c r="M31" s="24"/>
      <c r="N31" s="24"/>
      <c r="O31" s="25"/>
    </row>
    <row r="32" spans="2:16" x14ac:dyDescent="0.2">
      <c r="B32" s="194" t="s">
        <v>18</v>
      </c>
      <c r="C32" s="121" t="s">
        <v>22</v>
      </c>
      <c r="D32" s="196" t="s">
        <v>30</v>
      </c>
      <c r="E32" s="96" t="str">
        <f>IF(OR(C22="Yes", C17="Yes")," ",F13-C15)</f>
        <v xml:space="preserve"> </v>
      </c>
      <c r="F32" s="198" t="s">
        <v>30</v>
      </c>
      <c r="G32" s="200" t="str">
        <f>IF(OR(C22="Yes", C17="Yes")," ",E32/E33)</f>
        <v xml:space="preserve"> </v>
      </c>
      <c r="H32" s="203" t="str">
        <f>IF(G32&gt;37.5," ","Only need a terminal.")</f>
        <v xml:space="preserve"> </v>
      </c>
      <c r="J32" s="194" t="s">
        <v>18</v>
      </c>
      <c r="K32" s="121" t="s">
        <v>22</v>
      </c>
      <c r="L32" s="196" t="s">
        <v>30</v>
      </c>
      <c r="M32" s="96" t="str">
        <f>IF(OR(K22="Yes", K17="Yes")," ",N13-K15)</f>
        <v xml:space="preserve"> </v>
      </c>
      <c r="N32" s="198" t="s">
        <v>30</v>
      </c>
      <c r="O32" s="200" t="str">
        <f>IF(OR(K22="Yes", K17="Yes")," ",M32/M33)</f>
        <v xml:space="preserve"> </v>
      </c>
      <c r="P32" s="203" t="str">
        <f>IF(O32&gt;37.5," ","Only need a terminal.")</f>
        <v xml:space="preserve"> </v>
      </c>
    </row>
    <row r="33" spans="1:16" ht="13.5" thickBot="1" x14ac:dyDescent="0.25">
      <c r="B33" s="195"/>
      <c r="C33" s="74" t="s">
        <v>23</v>
      </c>
      <c r="D33" s="197"/>
      <c r="E33" s="48" t="str">
        <f>IF(OR(C22="Yes", C17="Yes")," ",F13/F7)</f>
        <v xml:space="preserve"> </v>
      </c>
      <c r="F33" s="199"/>
      <c r="G33" s="201"/>
      <c r="H33" s="203"/>
      <c r="J33" s="195"/>
      <c r="K33" s="74" t="s">
        <v>23</v>
      </c>
      <c r="L33" s="197"/>
      <c r="M33" s="48" t="str">
        <f>IF(OR(K22="Yes", K17="Yes")," ",N13/F7)</f>
        <v xml:space="preserve"> </v>
      </c>
      <c r="N33" s="199"/>
      <c r="O33" s="201"/>
      <c r="P33" s="203"/>
    </row>
    <row r="34" spans="1:16" ht="13.5" thickBot="1" x14ac:dyDescent="0.25">
      <c r="H34" s="14"/>
      <c r="K34" s="68"/>
    </row>
    <row r="35" spans="1:16" x14ac:dyDescent="0.2">
      <c r="B35" s="43" t="s">
        <v>116</v>
      </c>
      <c r="C35" s="41"/>
      <c r="D35" s="41"/>
      <c r="E35" s="41"/>
      <c r="F35" s="41"/>
      <c r="G35" s="42"/>
      <c r="J35" s="43" t="str">
        <f>B35</f>
        <v>LON for Tangent + Parabola</v>
      </c>
      <c r="K35" s="128"/>
      <c r="L35" s="41"/>
      <c r="M35" s="41"/>
      <c r="N35" s="41"/>
      <c r="O35" s="42"/>
    </row>
    <row r="36" spans="1:16" x14ac:dyDescent="0.2">
      <c r="B36" s="194" t="s">
        <v>18</v>
      </c>
      <c r="C36" s="121" t="s">
        <v>120</v>
      </c>
      <c r="D36" s="198" t="s">
        <v>30</v>
      </c>
      <c r="E36" s="96">
        <f>IF(C17="Yes",F13-C15-C18," ")</f>
        <v>28.5</v>
      </c>
      <c r="F36" s="198" t="s">
        <v>30</v>
      </c>
      <c r="G36" s="202">
        <f>IF(C17="Yes",E36/E37," ")</f>
        <v>275.5</v>
      </c>
      <c r="H36" s="203" t="str">
        <f>IF(G36&gt;37.5," ","Only need a terminal.")</f>
        <v xml:space="preserve"> </v>
      </c>
      <c r="J36" s="194" t="s">
        <v>18</v>
      </c>
      <c r="K36" s="121" t="s">
        <v>120</v>
      </c>
      <c r="L36" s="198" t="s">
        <v>30</v>
      </c>
      <c r="M36" s="96">
        <f>IF(K17="Yes",N13-K15-K18," ")</f>
        <v>28.5</v>
      </c>
      <c r="N36" s="198" t="s">
        <v>30</v>
      </c>
      <c r="O36" s="202">
        <f>IF(K17="Yes",M36/M37," ")</f>
        <v>275.5</v>
      </c>
      <c r="P36" s="203" t="str">
        <f>IF(O36&gt;37.5," ","Only need a terminal.")</f>
        <v xml:space="preserve"> </v>
      </c>
    </row>
    <row r="37" spans="1:16" x14ac:dyDescent="0.2">
      <c r="B37" s="194"/>
      <c r="C37" s="68" t="s">
        <v>23</v>
      </c>
      <c r="D37" s="198"/>
      <c r="E37" s="14">
        <f>IF(C17="Yes",F13/F7," ")</f>
        <v>0.10344827586206896</v>
      </c>
      <c r="F37" s="198"/>
      <c r="G37" s="202"/>
      <c r="H37" s="203"/>
      <c r="J37" s="194"/>
      <c r="K37" s="68" t="s">
        <v>23</v>
      </c>
      <c r="L37" s="198"/>
      <c r="M37" s="14">
        <f>IF(K17="Yes",N13/F7," ")</f>
        <v>0.10344827586206896</v>
      </c>
      <c r="N37" s="198"/>
      <c r="O37" s="202"/>
      <c r="P37" s="203"/>
    </row>
    <row r="38" spans="1:16" ht="13.5" thickBot="1" x14ac:dyDescent="0.25">
      <c r="B38" s="126"/>
      <c r="C38" s="47"/>
      <c r="D38" s="48"/>
      <c r="E38" s="48"/>
      <c r="F38" s="48"/>
      <c r="G38" s="49"/>
      <c r="J38" s="126"/>
      <c r="K38" s="47"/>
      <c r="L38" s="48"/>
      <c r="M38" s="48"/>
      <c r="N38" s="48"/>
      <c r="O38" s="49"/>
    </row>
    <row r="39" spans="1:16" ht="13.5" thickBot="1" x14ac:dyDescent="0.25">
      <c r="H39" s="14"/>
      <c r="K39" s="68"/>
    </row>
    <row r="40" spans="1:16" x14ac:dyDescent="0.2">
      <c r="B40" s="43" t="s">
        <v>117</v>
      </c>
      <c r="C40" s="41"/>
      <c r="D40" s="41"/>
      <c r="E40" s="41"/>
      <c r="F40" s="41"/>
      <c r="G40" s="42"/>
      <c r="J40" s="43" t="str">
        <f>B40</f>
        <v>LON for Tangent + Flare + Parabola</v>
      </c>
      <c r="K40" s="128"/>
      <c r="L40" s="41"/>
      <c r="M40" s="41"/>
      <c r="N40" s="41"/>
      <c r="O40" s="42"/>
    </row>
    <row r="41" spans="1:16" x14ac:dyDescent="0.2">
      <c r="B41" s="194" t="s">
        <v>18</v>
      </c>
      <c r="C41" s="121" t="s">
        <v>119</v>
      </c>
      <c r="D41" s="198" t="s">
        <v>30</v>
      </c>
      <c r="E41" s="96" t="str">
        <f>IF(C22="Yes",F13-C15+1/C25*C23-C25*C24/SQRT(C25^2+1)," ")</f>
        <v xml:space="preserve"> </v>
      </c>
      <c r="F41" s="198" t="s">
        <v>30</v>
      </c>
      <c r="G41" s="202" t="str">
        <f>IF(C22="Yes",E41/E42," ")</f>
        <v xml:space="preserve"> </v>
      </c>
      <c r="H41" s="203" t="str">
        <f>IF(G41&gt;37.5," ","Only need a terminal.")</f>
        <v xml:space="preserve"> </v>
      </c>
      <c r="J41" s="194" t="s">
        <v>18</v>
      </c>
      <c r="K41" s="121" t="s">
        <v>119</v>
      </c>
      <c r="L41" s="198" t="s">
        <v>30</v>
      </c>
      <c r="M41" s="96" t="str">
        <f>IF(K22="Yes",N13-K15+1/K25*K23-K25*K24/SQRT(K25^2+1)," ")</f>
        <v xml:space="preserve"> </v>
      </c>
      <c r="N41" s="198" t="s">
        <v>30</v>
      </c>
      <c r="O41" s="202" t="str">
        <f>IF(K22="Yes",M41/M42," ")</f>
        <v xml:space="preserve"> </v>
      </c>
      <c r="P41" s="203" t="str">
        <f>IF(O41&gt;37.5," ","Only need a terminal.")</f>
        <v xml:space="preserve"> </v>
      </c>
    </row>
    <row r="42" spans="1:16" x14ac:dyDescent="0.2">
      <c r="B42" s="194"/>
      <c r="C42" s="68" t="s">
        <v>20</v>
      </c>
      <c r="D42" s="198"/>
      <c r="E42" s="14" t="str">
        <f>IF(C22="Yes",1/C25+(F13/F7)," ")</f>
        <v xml:space="preserve"> </v>
      </c>
      <c r="F42" s="198"/>
      <c r="G42" s="202"/>
      <c r="H42" s="203"/>
      <c r="J42" s="194"/>
      <c r="K42" s="68" t="s">
        <v>20</v>
      </c>
      <c r="L42" s="198"/>
      <c r="M42" s="14" t="str">
        <f>IF(K22="Yes",1/K25+(N13/F7)," ")</f>
        <v xml:space="preserve"> </v>
      </c>
      <c r="N42" s="198"/>
      <c r="O42" s="202"/>
      <c r="P42" s="203"/>
    </row>
    <row r="43" spans="1:16" x14ac:dyDescent="0.2">
      <c r="B43" s="44"/>
      <c r="D43" s="14"/>
      <c r="E43" s="14"/>
      <c r="F43" s="14"/>
      <c r="G43" s="45"/>
      <c r="J43" s="44"/>
      <c r="L43" s="14"/>
      <c r="M43" s="14"/>
      <c r="N43" s="14"/>
      <c r="O43" s="45"/>
    </row>
    <row r="44" spans="1:16" ht="13.5" thickBot="1" x14ac:dyDescent="0.25">
      <c r="A44" s="12"/>
      <c r="B44" s="46" t="s">
        <v>19</v>
      </c>
      <c r="C44" s="74" t="s">
        <v>21</v>
      </c>
      <c r="D44" s="48" t="s">
        <v>30</v>
      </c>
      <c r="E44" s="97" t="str">
        <f>IF(C22="Yes",F13-G41*(F13/F7)," ")</f>
        <v xml:space="preserve"> </v>
      </c>
      <c r="F44" s="48"/>
      <c r="G44" s="49"/>
      <c r="I44" s="12"/>
      <c r="J44" s="46" t="s">
        <v>19</v>
      </c>
      <c r="K44" s="74" t="s">
        <v>21</v>
      </c>
      <c r="L44" s="48" t="s">
        <v>30</v>
      </c>
      <c r="M44" s="97" t="str">
        <f>IF(K22="Yes",N13-O41*(N13/F7)," ")</f>
        <v xml:space="preserve"> </v>
      </c>
      <c r="N44" s="48"/>
      <c r="O44" s="49"/>
    </row>
    <row r="45" spans="1:16" x14ac:dyDescent="0.2">
      <c r="A45" s="12"/>
    </row>
    <row r="46" spans="1:16" x14ac:dyDescent="0.2">
      <c r="B46" s="135" t="s">
        <v>88</v>
      </c>
      <c r="C46" s="134"/>
      <c r="D46" s="135"/>
      <c r="E46" s="135"/>
      <c r="F46" s="135"/>
      <c r="G46" s="135"/>
      <c r="H46" s="110"/>
      <c r="J46" s="135" t="s">
        <v>88</v>
      </c>
      <c r="K46" s="134"/>
      <c r="L46" s="135"/>
      <c r="M46" s="134"/>
      <c r="N46" s="134"/>
      <c r="O46" s="134"/>
    </row>
    <row r="65" spans="2:15" ht="13.5" thickBot="1" x14ac:dyDescent="0.25"/>
    <row r="66" spans="2:15" ht="16.5" thickTop="1" x14ac:dyDescent="0.25">
      <c r="B66" s="191" t="s">
        <v>159</v>
      </c>
      <c r="C66" s="192"/>
      <c r="D66" s="192"/>
      <c r="E66" s="192"/>
      <c r="F66" s="192"/>
      <c r="G66" s="193"/>
      <c r="J66" s="191" t="s">
        <v>160</v>
      </c>
      <c r="K66" s="192"/>
      <c r="L66" s="192"/>
      <c r="M66" s="192"/>
      <c r="N66" s="192"/>
      <c r="O66" s="193"/>
    </row>
    <row r="67" spans="2:15" ht="15.75" x14ac:dyDescent="0.25">
      <c r="B67" s="76"/>
      <c r="C67" s="87"/>
      <c r="D67" s="87"/>
      <c r="E67" s="87"/>
      <c r="F67" s="87"/>
      <c r="G67" s="88"/>
      <c r="J67" s="76"/>
      <c r="K67" s="87"/>
      <c r="L67" s="87"/>
      <c r="M67" s="87"/>
      <c r="N67" s="87"/>
      <c r="O67" s="88"/>
    </row>
    <row r="68" spans="2:15" ht="15" x14ac:dyDescent="0.2">
      <c r="B68" s="77" t="str">
        <f>IF(C28="Yes", "Transition Length", " ")</f>
        <v xml:space="preserve"> </v>
      </c>
      <c r="C68" s="78"/>
      <c r="D68" s="85" t="s">
        <v>48</v>
      </c>
      <c r="E68" s="78"/>
      <c r="F68" s="85" t="s">
        <v>52</v>
      </c>
      <c r="G68" s="86"/>
      <c r="J68" s="77" t="str">
        <f>IF(K28="Yes", "Transition Length", " ")</f>
        <v xml:space="preserve"> </v>
      </c>
      <c r="K68" s="78"/>
      <c r="L68" s="85" t="s">
        <v>48</v>
      </c>
      <c r="M68" s="78"/>
      <c r="N68" s="85" t="s">
        <v>52</v>
      </c>
      <c r="O68" s="86"/>
    </row>
    <row r="69" spans="2:15" ht="15.75" x14ac:dyDescent="0.25">
      <c r="B69" s="82" t="str">
        <f>IF(C28="No", "0",C29)</f>
        <v>0</v>
      </c>
      <c r="C69" s="78"/>
      <c r="D69" s="178">
        <f>E29</f>
        <v>50</v>
      </c>
      <c r="E69" s="87"/>
      <c r="F69" s="85" t="s">
        <v>51</v>
      </c>
      <c r="G69" s="177">
        <f>IF(C22="Yes"," ",IF(C17="Yes",ROUNDUP(((G36-($D$69-12.5))/12.5),0)*12.5,ROUNDUP(((G32-($D$69-12.5))/12.5),0)*12.5))</f>
        <v>250</v>
      </c>
      <c r="J69" s="82" t="str">
        <f>IF(K28="No", "0",K29)</f>
        <v>0</v>
      </c>
      <c r="K69" s="78"/>
      <c r="L69" s="178">
        <v>50</v>
      </c>
      <c r="M69" s="87"/>
      <c r="N69" s="85" t="s">
        <v>51</v>
      </c>
      <c r="O69" s="177">
        <f>IF(K22="Yes"," ",IF(K17="Yes",IF(O36-($L$69-12.5)&gt;0,ROUNDUP(((O36-($L$69-12.5))/12.5),0)*12.5,0),IF(O32-($L$69-12.5)&gt;0,ROUNDUP(((O32-($L$69-12.5))/12.5),0)*12.5,0)))</f>
        <v>250</v>
      </c>
    </row>
    <row r="70" spans="2:15" ht="15.75" thickBot="1" x14ac:dyDescent="0.25">
      <c r="B70" s="79"/>
      <c r="C70" s="80"/>
      <c r="D70" s="81"/>
      <c r="E70" s="80"/>
      <c r="F70" s="80" t="s">
        <v>47</v>
      </c>
      <c r="G70" s="179" t="str">
        <f>IF(C22="Yes",IF(G41&gt;0,ROUNDUP(((G41-($D$69-12.5))/12.5),0)*12.5)," ")</f>
        <v xml:space="preserve"> </v>
      </c>
      <c r="J70" s="79"/>
      <c r="K70" s="80"/>
      <c r="L70" s="81"/>
      <c r="M70" s="80"/>
      <c r="N70" s="80" t="s">
        <v>47</v>
      </c>
      <c r="O70" s="179" t="str">
        <f>IF(K22="Yes",IF(O41-(L69-12.5)&gt;0,ROUNDUP(((O41-($L$69-12.5))/12.5),0)*12.5,0)," ")</f>
        <v xml:space="preserve"> </v>
      </c>
    </row>
    <row r="71" spans="2:15" ht="13.5" thickTop="1" x14ac:dyDescent="0.2"/>
    <row r="73" spans="2:15" ht="20.25" x14ac:dyDescent="0.3">
      <c r="B73" s="180" t="s">
        <v>151</v>
      </c>
    </row>
    <row r="75" spans="2:15" ht="20.25" x14ac:dyDescent="0.3">
      <c r="B75" s="182" t="s">
        <v>158</v>
      </c>
    </row>
    <row r="77" spans="2:15" ht="18.75" x14ac:dyDescent="0.3">
      <c r="C77" s="181" t="s">
        <v>162</v>
      </c>
    </row>
    <row r="79" spans="2:15" x14ac:dyDescent="0.2">
      <c r="C79" t="s">
        <v>152</v>
      </c>
    </row>
    <row r="80" spans="2:15" x14ac:dyDescent="0.2">
      <c r="C80" t="s">
        <v>153</v>
      </c>
    </row>
    <row r="81" spans="3:3" x14ac:dyDescent="0.2">
      <c r="C81" t="s">
        <v>154</v>
      </c>
    </row>
    <row r="82" spans="3:3" x14ac:dyDescent="0.2">
      <c r="C82" t="s">
        <v>155</v>
      </c>
    </row>
    <row r="83" spans="3:3" x14ac:dyDescent="0.2">
      <c r="C83" t="s">
        <v>156</v>
      </c>
    </row>
    <row r="84" spans="3:3" x14ac:dyDescent="0.2">
      <c r="C84" t="s">
        <v>157</v>
      </c>
    </row>
  </sheetData>
  <mergeCells count="38">
    <mergeCell ref="G8:G9"/>
    <mergeCell ref="F22:H26"/>
    <mergeCell ref="N22:P26"/>
    <mergeCell ref="F29:G29"/>
    <mergeCell ref="N29:O29"/>
    <mergeCell ref="O8:O9"/>
    <mergeCell ref="P32:P33"/>
    <mergeCell ref="B41:B42"/>
    <mergeCell ref="D41:D42"/>
    <mergeCell ref="F41:F42"/>
    <mergeCell ref="G41:G42"/>
    <mergeCell ref="J41:J42"/>
    <mergeCell ref="B32:B33"/>
    <mergeCell ref="D32:D33"/>
    <mergeCell ref="F32:F33"/>
    <mergeCell ref="G32:G33"/>
    <mergeCell ref="H32:H33"/>
    <mergeCell ref="J36:J37"/>
    <mergeCell ref="P36:P37"/>
    <mergeCell ref="P41:P42"/>
    <mergeCell ref="H36:H37"/>
    <mergeCell ref="H41:H42"/>
    <mergeCell ref="B66:G66"/>
    <mergeCell ref="J66:O66"/>
    <mergeCell ref="J32:J33"/>
    <mergeCell ref="L32:L33"/>
    <mergeCell ref="N32:N33"/>
    <mergeCell ref="O32:O33"/>
    <mergeCell ref="L36:L37"/>
    <mergeCell ref="N36:N37"/>
    <mergeCell ref="O36:O37"/>
    <mergeCell ref="L41:L42"/>
    <mergeCell ref="N41:N42"/>
    <mergeCell ref="O41:O42"/>
    <mergeCell ref="B36:B37"/>
    <mergeCell ref="D36:D37"/>
    <mergeCell ref="F36:F37"/>
    <mergeCell ref="G36:G37"/>
  </mergeCells>
  <conditionalFormatting sqref="B29">
    <cfRule type="expression" dxfId="21" priority="35" stopIfTrue="1">
      <formula>($F$22="Yes")</formula>
    </cfRule>
  </conditionalFormatting>
  <conditionalFormatting sqref="B69">
    <cfRule type="expression" dxfId="20" priority="5">
      <formula>($C$28="Yes")</formula>
    </cfRule>
  </conditionalFormatting>
  <conditionalFormatting sqref="C18">
    <cfRule type="expression" dxfId="19" priority="21" stopIfTrue="1">
      <formula>($C$17="Yes")</formula>
    </cfRule>
  </conditionalFormatting>
  <conditionalFormatting sqref="C23:C24">
    <cfRule type="expression" dxfId="18" priority="33" stopIfTrue="1">
      <formula>($C$22="Yes")</formula>
    </cfRule>
  </conditionalFormatting>
  <conditionalFormatting sqref="C29">
    <cfRule type="expression" dxfId="17" priority="34">
      <formula>($C$28="Yes")</formula>
    </cfRule>
  </conditionalFormatting>
  <conditionalFormatting sqref="D16:E16 L16:M16 D18 D23 L23 D24:E25 L24:M25 D27:E27 L27:M27">
    <cfRule type="expression" dxfId="16" priority="27" stopIfTrue="1">
      <formula>($E$28="Yes")</formula>
    </cfRule>
  </conditionalFormatting>
  <conditionalFormatting sqref="D19:E20">
    <cfRule type="expression" dxfId="15" priority="11" stopIfTrue="1">
      <formula>($E$28="Yes")</formula>
    </cfRule>
  </conditionalFormatting>
  <conditionalFormatting sqref="E18">
    <cfRule type="expression" dxfId="14" priority="19" stopIfTrue="1">
      <formula>($E$17="Yes")</formula>
    </cfRule>
  </conditionalFormatting>
  <conditionalFormatting sqref="E23">
    <cfRule type="expression" dxfId="13" priority="26" stopIfTrue="1">
      <formula>($E$22="Yes")</formula>
    </cfRule>
  </conditionalFormatting>
  <conditionalFormatting sqref="F29:G29">
    <cfRule type="expression" dxfId="12" priority="23">
      <formula>$F$29</formula>
    </cfRule>
  </conditionalFormatting>
  <conditionalFormatting sqref="G69">
    <cfRule type="expression" dxfId="11" priority="8" stopIfTrue="1">
      <formula>(#REF!&lt;0)</formula>
    </cfRule>
  </conditionalFormatting>
  <conditionalFormatting sqref="J29">
    <cfRule type="expression" dxfId="10" priority="36" stopIfTrue="1">
      <formula>($N$22="Yes")</formula>
    </cfRule>
  </conditionalFormatting>
  <conditionalFormatting sqref="J69">
    <cfRule type="expression" dxfId="9" priority="29">
      <formula>($K$28="Yes")</formula>
    </cfRule>
  </conditionalFormatting>
  <conditionalFormatting sqref="K18">
    <cfRule type="expression" dxfId="8" priority="16" stopIfTrue="1">
      <formula>($K$17="Yes")</formula>
    </cfRule>
  </conditionalFormatting>
  <conditionalFormatting sqref="K23:K24">
    <cfRule type="expression" dxfId="7" priority="18" stopIfTrue="1">
      <formula>($K$22="Yes")</formula>
    </cfRule>
  </conditionalFormatting>
  <conditionalFormatting sqref="K29">
    <cfRule type="expression" dxfId="6" priority="31">
      <formula>($K$28="Yes")</formula>
    </cfRule>
  </conditionalFormatting>
  <conditionalFormatting sqref="L18">
    <cfRule type="expression" dxfId="5" priority="17" stopIfTrue="1">
      <formula>($E$28="Yes")</formula>
    </cfRule>
  </conditionalFormatting>
  <conditionalFormatting sqref="L19:M20">
    <cfRule type="expression" dxfId="4" priority="9" stopIfTrue="1">
      <formula>($E$28="Yes")</formula>
    </cfRule>
  </conditionalFormatting>
  <conditionalFormatting sqref="M18">
    <cfRule type="expression" dxfId="3" priority="14" stopIfTrue="1">
      <formula>($M$17="Yes")</formula>
    </cfRule>
  </conditionalFormatting>
  <conditionalFormatting sqref="M23">
    <cfRule type="expression" dxfId="2" priority="24" stopIfTrue="1">
      <formula>($M$22="Yes")</formula>
    </cfRule>
  </conditionalFormatting>
  <conditionalFormatting sqref="N29:O29">
    <cfRule type="expression" dxfId="1" priority="22">
      <formula>$F$29</formula>
    </cfRule>
  </conditionalFormatting>
  <conditionalFormatting sqref="O69">
    <cfRule type="expression" dxfId="0" priority="7" stopIfTrue="1">
      <formula>(#REF!&lt;0)</formula>
    </cfRule>
  </conditionalFormatting>
  <dataValidations disablePrompts="1" xWindow="886" yWindow="426" count="16">
    <dataValidation type="list" allowBlank="1" showInputMessage="1" showErrorMessage="1" prompt="Select the closest radius from the list." sqref="E18 E23 M23 M18" xr:uid="{00000000-0002-0000-0300-000000000000}">
      <formula1>ECurve</formula1>
    </dataValidation>
    <dataValidation type="list" allowBlank="1" showInputMessage="1" showErrorMessage="1" prompt="Select length of transition system from the list." sqref="C29 K29" xr:uid="{00000000-0002-0000-0300-000001000000}">
      <formula1>ETransitions</formula1>
    </dataValidation>
    <dataValidation type="list" allowBlank="1" showInputMessage="1" showErrorMessage="1" prompt="Select YES if the guardrail will be connected to a structure (bridge rail, guardwall, etc.)." sqref="C28 K28" xr:uid="{00000000-0002-0000-0300-000002000000}">
      <formula1>Option</formula1>
    </dataValidation>
    <dataValidation type="list" allowBlank="1" showInputMessage="1" showErrorMessage="1" prompt="Select terminal length._x000a_NOTE: TL-3 terminals are at least 37.5 ft long." sqref="M29 E29" xr:uid="{00000000-0002-0000-0300-000003000000}">
      <formula1>ETerminals</formula1>
    </dataValidation>
    <dataValidation type="list" errorStyle="information" allowBlank="1" showErrorMessage="1" error="Select closest design speed from list." prompt="Select closest design speed from list." sqref="C6 K6" xr:uid="{00000000-0002-0000-0300-000004000000}">
      <formula1>ESpeed</formula1>
    </dataValidation>
    <dataValidation type="list" allowBlank="1" showInputMessage="1" showErrorMessage="1" prompt="Select closest traffic volume from list." sqref="C7 K7" xr:uid="{00000000-0002-0000-0300-000005000000}">
      <formula1>ADT</formula1>
    </dataValidation>
    <dataValidation type="list" allowBlank="1" showInputMessage="1" showErrorMessage="1" prompt="Select closest side slope from list." sqref="C13 K13" xr:uid="{00000000-0002-0000-0300-000006000000}">
      <formula1>FillSlope</formula1>
    </dataValidation>
    <dataValidation allowBlank="1" showInputMessage="1" showErrorMessage="1" prompt="Enter the lateral distance from the edge of the traveled way to the FAR SIDE or BACK of the fixed object or hazard." sqref="C14 K14" xr:uid="{00000000-0002-0000-0300-000007000000}"/>
    <dataValidation allowBlank="1" showInputMessage="1" showErrorMessage="1" prompt="Enter the offset of the roadside barrier measured from the edge of the traveled way to the front face of the barrier." sqref="K15 C15" xr:uid="{00000000-0002-0000-0300-000008000000}"/>
    <dataValidation type="list" allowBlank="1" showInputMessage="1" showErrorMessage="1" prompt="Select YES if there will be a system flare." sqref="K22" xr:uid="{00000000-0002-0000-0300-000009000000}">
      <formula1>Option</formula1>
    </dataValidation>
    <dataValidation type="list" allowBlank="1" showInputMessage="1" showErrorMessage="1" prompt="Select YES if there will be guardrail on the outside of a curve." sqref="E22 M22 E17 M17" xr:uid="{00000000-0002-0000-0300-00000A000000}">
      <formula1>Option</formula1>
    </dataValidation>
    <dataValidation allowBlank="1" showInputMessage="1" showErrorMessage="1" prompt="Enter the tangent length of the barrier measured from the upstream limit of the hazard." sqref="C23 K23" xr:uid="{00000000-0002-0000-0300-00000B000000}"/>
    <dataValidation allowBlank="1" showInputMessage="1" showErrorMessage="1" prompt="Enter the parabolic offset to 1st non-breakway post in terminal (1.5' for MASH Terminal, 50' End Section + 2' Offset)." sqref="K18:K19 C24 K24 C19" xr:uid="{00000000-0002-0000-0300-00000C000000}"/>
    <dataValidation type="list" allowBlank="1" showInputMessage="1" showErrorMessage="1" prompt="Select YES if there will be a parabolic flare." sqref="C17 K17" xr:uid="{00000000-0002-0000-0300-00000D000000}">
      <formula1>Option</formula1>
    </dataValidation>
    <dataValidation type="list" allowBlank="1" showInputMessage="1" showErrorMessage="1" prompt="Select YES if there will be a system flare + parabolic flare." sqref="C22" xr:uid="{00000000-0002-0000-0300-00000E000000}">
      <formula1>Option</formula1>
    </dataValidation>
    <dataValidation allowBlank="1" showInputMessage="1" showErrorMessage="1" prompt="Enter the parabolic offset to 1st non-breakway post in terminal (1.5' for Parallel End Terminal, 50' End Section + 2' Offset)." sqref="C18" xr:uid="{00000000-0002-0000-0300-00000F000000}"/>
  </dataValidations>
  <hyperlinks>
    <hyperlink ref="C4" location="Hints" display="Hints" xr:uid="{00000000-0004-0000-0300-000000000000}"/>
    <hyperlink ref="L4" location="Hints" display="Hints" xr:uid="{00000000-0004-0000-0300-000001000000}"/>
    <hyperlink ref="B46" location="Definitions" display="See Definitions" xr:uid="{00000000-0004-0000-0300-000002000000}"/>
    <hyperlink ref="J46" location="Definitions" display="See Definitions" xr:uid="{00000000-0004-0000-0300-000003000000}"/>
  </hyperlinks>
  <pageMargins left="0.75" right="0.75" top="1" bottom="1" header="0.5" footer="0.5"/>
  <pageSetup scale="67" orientation="portrait" r:id="rId1"/>
  <headerFooter alignWithMargins="0">
    <oddHeader xml:space="preserve">&amp;L
</oddHeader>
  </headerFooter>
  <colBreaks count="1" manualBreakCount="1">
    <brk id="8"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0" tint="-0.34998626667073579"/>
  </sheetPr>
  <dimension ref="B1:O116"/>
  <sheetViews>
    <sheetView view="pageBreakPreview" topLeftCell="A64" zoomScale="90" zoomScaleNormal="100" zoomScaleSheetLayoutView="90" workbookViewId="0">
      <selection activeCell="K19" sqref="K19"/>
    </sheetView>
  </sheetViews>
  <sheetFormatPr defaultRowHeight="12.75" x14ac:dyDescent="0.2"/>
  <cols>
    <col min="1" max="1" width="2.42578125" customWidth="1"/>
    <col min="2" max="2" width="14" customWidth="1"/>
    <col min="3" max="3" width="17.28515625" customWidth="1"/>
    <col min="4" max="4" width="13.5703125" bestFit="1" customWidth="1"/>
    <col min="5" max="5" width="14.140625" bestFit="1" customWidth="1"/>
    <col min="7" max="7" width="12.5703125" customWidth="1"/>
    <col min="8" max="8" width="14.140625" bestFit="1" customWidth="1"/>
    <col min="9" max="9" width="13.5703125" bestFit="1" customWidth="1"/>
    <col min="10" max="10" width="9.5703125" customWidth="1"/>
    <col min="11" max="11" width="10.42578125" customWidth="1"/>
    <col min="18" max="18" width="10.85546875" customWidth="1"/>
  </cols>
  <sheetData>
    <row r="1" spans="2:13" x14ac:dyDescent="0.2">
      <c r="D1" t="s">
        <v>109</v>
      </c>
    </row>
    <row r="2" spans="2:13" x14ac:dyDescent="0.2">
      <c r="B2" s="232" t="s">
        <v>77</v>
      </c>
      <c r="C2" s="233"/>
      <c r="D2" s="32"/>
      <c r="G2" s="225" t="s">
        <v>79</v>
      </c>
      <c r="H2" s="226"/>
      <c r="I2" s="226"/>
      <c r="J2" s="226"/>
      <c r="K2" s="227"/>
    </row>
    <row r="3" spans="2:13" x14ac:dyDescent="0.2">
      <c r="B3" s="234" t="s">
        <v>78</v>
      </c>
      <c r="C3" s="235"/>
      <c r="D3" s="32"/>
      <c r="E3" t="s">
        <v>45</v>
      </c>
      <c r="G3" s="236" t="s">
        <v>121</v>
      </c>
      <c r="H3" s="237"/>
      <c r="I3" s="237"/>
      <c r="J3" s="237"/>
      <c r="K3" s="238"/>
    </row>
    <row r="4" spans="2:13" x14ac:dyDescent="0.2">
      <c r="B4" s="18" t="s">
        <v>0</v>
      </c>
      <c r="C4" s="31" t="s">
        <v>2</v>
      </c>
      <c r="D4" s="32"/>
      <c r="E4" s="13" t="s">
        <v>46</v>
      </c>
      <c r="G4" s="239" t="s">
        <v>0</v>
      </c>
      <c r="H4" s="228" t="s">
        <v>7</v>
      </c>
      <c r="I4" s="228"/>
      <c r="J4" s="228"/>
      <c r="K4" s="228"/>
    </row>
    <row r="5" spans="2:13" x14ac:dyDescent="0.2">
      <c r="B5" s="17" t="s">
        <v>1</v>
      </c>
      <c r="C5" s="28" t="s">
        <v>3</v>
      </c>
      <c r="D5" s="34"/>
      <c r="E5" s="33"/>
      <c r="G5" s="240"/>
      <c r="H5" s="83" t="s">
        <v>58</v>
      </c>
      <c r="I5" s="83" t="s">
        <v>163</v>
      </c>
      <c r="J5" s="83" t="s">
        <v>59</v>
      </c>
      <c r="K5" s="83" t="s">
        <v>60</v>
      </c>
    </row>
    <row r="6" spans="2:13" x14ac:dyDescent="0.2">
      <c r="B6" s="17">
        <v>20</v>
      </c>
      <c r="C6" s="55">
        <v>2.5</v>
      </c>
      <c r="D6" s="34"/>
      <c r="E6" s="33"/>
      <c r="G6" s="1" t="s">
        <v>1</v>
      </c>
      <c r="H6" s="236" t="s">
        <v>8</v>
      </c>
      <c r="I6" s="237"/>
      <c r="J6" s="237"/>
      <c r="K6" s="238"/>
    </row>
    <row r="7" spans="2:13" x14ac:dyDescent="0.2">
      <c r="B7" s="17">
        <v>25</v>
      </c>
      <c r="C7" s="55">
        <v>3</v>
      </c>
      <c r="D7" s="34"/>
      <c r="E7" s="33"/>
      <c r="G7" s="1">
        <v>20</v>
      </c>
      <c r="H7" s="54">
        <v>60</v>
      </c>
      <c r="I7" s="54">
        <v>50</v>
      </c>
      <c r="J7" s="54">
        <v>35</v>
      </c>
      <c r="K7" s="54">
        <v>25</v>
      </c>
    </row>
    <row r="8" spans="2:13" x14ac:dyDescent="0.2">
      <c r="B8" s="30">
        <v>30</v>
      </c>
      <c r="C8" s="29">
        <v>4</v>
      </c>
      <c r="D8" s="34"/>
      <c r="E8" s="33"/>
      <c r="G8" s="1">
        <v>25</v>
      </c>
      <c r="H8" s="54">
        <v>85</v>
      </c>
      <c r="I8" s="54">
        <v>70</v>
      </c>
      <c r="J8" s="54">
        <v>60</v>
      </c>
      <c r="K8" s="54">
        <v>50</v>
      </c>
    </row>
    <row r="9" spans="2:13" x14ac:dyDescent="0.2">
      <c r="B9" s="95">
        <v>35</v>
      </c>
      <c r="C9" s="94">
        <v>4.5</v>
      </c>
      <c r="D9" s="34"/>
      <c r="E9" s="33"/>
      <c r="G9" s="83">
        <v>30</v>
      </c>
      <c r="H9" s="83">
        <v>110</v>
      </c>
      <c r="I9" s="83">
        <v>90</v>
      </c>
      <c r="J9" s="83">
        <v>80</v>
      </c>
      <c r="K9" s="83">
        <v>70</v>
      </c>
    </row>
    <row r="10" spans="2:13" ht="15" x14ac:dyDescent="0.25">
      <c r="B10" s="30">
        <v>40</v>
      </c>
      <c r="C10" s="29">
        <v>5</v>
      </c>
      <c r="D10" s="34"/>
      <c r="E10" s="33"/>
      <c r="G10" s="84">
        <v>35</v>
      </c>
      <c r="H10" s="84">
        <v>135</v>
      </c>
      <c r="I10" s="84">
        <v>110</v>
      </c>
      <c r="J10" s="84">
        <v>95</v>
      </c>
      <c r="K10" s="84">
        <v>85</v>
      </c>
      <c r="M10" s="122"/>
    </row>
    <row r="11" spans="2:13" x14ac:dyDescent="0.2">
      <c r="B11" s="30">
        <v>45</v>
      </c>
      <c r="C11" s="29">
        <v>6</v>
      </c>
      <c r="D11" s="34"/>
      <c r="E11" s="33"/>
      <c r="G11" s="83">
        <v>40</v>
      </c>
      <c r="H11" s="83">
        <v>160</v>
      </c>
      <c r="I11" s="83">
        <v>130</v>
      </c>
      <c r="J11" s="83">
        <v>110</v>
      </c>
      <c r="K11" s="83">
        <v>100</v>
      </c>
    </row>
    <row r="12" spans="2:13" x14ac:dyDescent="0.2">
      <c r="B12" s="30">
        <v>50</v>
      </c>
      <c r="C12" s="29">
        <v>6.5</v>
      </c>
      <c r="D12" s="34"/>
      <c r="E12" s="33"/>
      <c r="G12" s="84">
        <v>45</v>
      </c>
      <c r="H12" s="54">
        <v>195</v>
      </c>
      <c r="I12" s="54">
        <v>160</v>
      </c>
      <c r="J12" s="54">
        <v>135</v>
      </c>
      <c r="K12" s="54">
        <v>125</v>
      </c>
    </row>
    <row r="13" spans="2:13" x14ac:dyDescent="0.2">
      <c r="B13" s="30">
        <v>55</v>
      </c>
      <c r="C13" s="29">
        <v>7</v>
      </c>
      <c r="D13" s="34"/>
      <c r="E13" s="33"/>
      <c r="G13" s="83">
        <v>50</v>
      </c>
      <c r="H13" s="83">
        <v>230</v>
      </c>
      <c r="I13" s="83">
        <v>190</v>
      </c>
      <c r="J13" s="83">
        <v>160</v>
      </c>
      <c r="K13" s="83">
        <v>150</v>
      </c>
    </row>
    <row r="14" spans="2:13" x14ac:dyDescent="0.2">
      <c r="B14" s="30">
        <v>60</v>
      </c>
      <c r="C14" s="29">
        <v>8</v>
      </c>
      <c r="D14" s="34"/>
      <c r="E14" s="33"/>
      <c r="G14" s="84">
        <v>55</v>
      </c>
      <c r="H14" s="54">
        <v>265</v>
      </c>
      <c r="I14" s="54">
        <v>220</v>
      </c>
      <c r="J14" s="54">
        <v>185</v>
      </c>
      <c r="K14" s="54">
        <v>175</v>
      </c>
    </row>
    <row r="15" spans="2:13" x14ac:dyDescent="0.2">
      <c r="B15" s="30">
        <v>70</v>
      </c>
      <c r="C15" s="29">
        <v>9</v>
      </c>
      <c r="D15" s="34"/>
      <c r="E15" s="33"/>
      <c r="G15" s="83">
        <v>60</v>
      </c>
      <c r="H15" s="83">
        <v>300</v>
      </c>
      <c r="I15" s="83">
        <v>250</v>
      </c>
      <c r="J15" s="83">
        <v>210</v>
      </c>
      <c r="K15" s="83">
        <v>200</v>
      </c>
    </row>
    <row r="16" spans="2:13" x14ac:dyDescent="0.2">
      <c r="B16" s="30">
        <v>75</v>
      </c>
      <c r="C16" s="29">
        <v>10</v>
      </c>
      <c r="D16" s="34"/>
      <c r="E16" s="33"/>
      <c r="G16" s="84">
        <v>65</v>
      </c>
      <c r="H16" s="84">
        <v>330</v>
      </c>
      <c r="I16" s="84">
        <v>290</v>
      </c>
      <c r="J16" s="84">
        <v>250</v>
      </c>
      <c r="K16" s="84">
        <v>225</v>
      </c>
    </row>
    <row r="17" spans="2:13" x14ac:dyDescent="0.2">
      <c r="B17" s="30">
        <v>80</v>
      </c>
      <c r="C17" s="29">
        <v>12</v>
      </c>
      <c r="G17" s="83">
        <v>70</v>
      </c>
      <c r="H17" s="83">
        <v>360</v>
      </c>
      <c r="I17" s="83">
        <v>330</v>
      </c>
      <c r="J17" s="83">
        <v>290</v>
      </c>
      <c r="K17" s="83">
        <v>250</v>
      </c>
    </row>
    <row r="18" spans="2:13" x14ac:dyDescent="0.2">
      <c r="G18" s="84">
        <v>75</v>
      </c>
      <c r="H18" s="84">
        <v>415</v>
      </c>
      <c r="I18" s="84">
        <v>380</v>
      </c>
      <c r="J18" s="84">
        <v>335</v>
      </c>
      <c r="K18" s="84">
        <v>290</v>
      </c>
    </row>
    <row r="19" spans="2:13" x14ac:dyDescent="0.2">
      <c r="G19" s="83">
        <v>80</v>
      </c>
      <c r="H19" s="83">
        <v>470</v>
      </c>
      <c r="I19" s="83">
        <v>430</v>
      </c>
      <c r="J19" s="83">
        <v>380</v>
      </c>
      <c r="K19" s="83">
        <v>330</v>
      </c>
    </row>
    <row r="20" spans="2:13" x14ac:dyDescent="0.2">
      <c r="G20" s="12" t="s">
        <v>122</v>
      </c>
    </row>
    <row r="21" spans="2:13" ht="15" x14ac:dyDescent="0.25">
      <c r="G21" s="122" t="s">
        <v>123</v>
      </c>
    </row>
    <row r="22" spans="2:13" x14ac:dyDescent="0.2">
      <c r="B22" s="241" t="s">
        <v>80</v>
      </c>
      <c r="C22" s="242"/>
      <c r="D22" s="242"/>
      <c r="E22" s="243"/>
      <c r="G22" t="s">
        <v>124</v>
      </c>
    </row>
    <row r="23" spans="2:13" x14ac:dyDescent="0.2">
      <c r="B23" s="229" t="s">
        <v>81</v>
      </c>
      <c r="C23" s="230"/>
      <c r="D23" s="230"/>
      <c r="E23" s="231"/>
      <c r="H23" t="s">
        <v>27</v>
      </c>
      <c r="I23" t="s">
        <v>24</v>
      </c>
      <c r="J23" t="s">
        <v>28</v>
      </c>
      <c r="L23" t="s">
        <v>49</v>
      </c>
      <c r="M23" t="s">
        <v>50</v>
      </c>
    </row>
    <row r="24" spans="2:13" ht="15" customHeight="1" x14ac:dyDescent="0.2">
      <c r="B24" s="249" t="s">
        <v>0</v>
      </c>
      <c r="C24" s="244" t="s">
        <v>5</v>
      </c>
      <c r="D24" s="229" t="s">
        <v>6</v>
      </c>
      <c r="E24" s="231"/>
      <c r="H24">
        <v>20</v>
      </c>
      <c r="I24">
        <v>200</v>
      </c>
      <c r="J24" t="s">
        <v>101</v>
      </c>
      <c r="L24">
        <v>0</v>
      </c>
      <c r="M24">
        <v>25</v>
      </c>
    </row>
    <row r="25" spans="2:13" x14ac:dyDescent="0.2">
      <c r="B25" s="250"/>
      <c r="C25" s="245"/>
      <c r="D25" s="3" t="s">
        <v>4</v>
      </c>
      <c r="E25" s="6" t="s">
        <v>14</v>
      </c>
      <c r="H25">
        <v>25</v>
      </c>
      <c r="I25">
        <v>300</v>
      </c>
      <c r="J25" t="s">
        <v>102</v>
      </c>
      <c r="L25">
        <v>9.5</v>
      </c>
      <c r="M25">
        <v>37.5</v>
      </c>
    </row>
    <row r="26" spans="2:13" x14ac:dyDescent="0.2">
      <c r="B26" s="4" t="s">
        <v>1</v>
      </c>
      <c r="C26" s="5" t="s">
        <v>9</v>
      </c>
      <c r="D26" s="5" t="s">
        <v>9</v>
      </c>
      <c r="E26" s="5" t="s">
        <v>9</v>
      </c>
      <c r="H26">
        <v>30</v>
      </c>
      <c r="I26">
        <v>400</v>
      </c>
      <c r="L26">
        <v>12.5</v>
      </c>
      <c r="M26">
        <v>40.75</v>
      </c>
    </row>
    <row r="27" spans="2:13" x14ac:dyDescent="0.2">
      <c r="B27" s="4">
        <v>20</v>
      </c>
      <c r="C27" s="5">
        <v>7</v>
      </c>
      <c r="D27" s="5">
        <v>7</v>
      </c>
      <c r="E27" s="5">
        <v>6</v>
      </c>
      <c r="H27" s="9">
        <v>35</v>
      </c>
      <c r="I27">
        <v>500</v>
      </c>
      <c r="L27">
        <v>18</v>
      </c>
      <c r="M27">
        <v>50</v>
      </c>
    </row>
    <row r="28" spans="2:13" x14ac:dyDescent="0.2">
      <c r="B28" s="4">
        <v>25</v>
      </c>
      <c r="C28" s="5">
        <v>7</v>
      </c>
      <c r="D28" s="5">
        <v>7</v>
      </c>
      <c r="E28" s="5">
        <v>6</v>
      </c>
      <c r="H28">
        <v>40</v>
      </c>
      <c r="I28">
        <v>600</v>
      </c>
      <c r="L28">
        <v>20</v>
      </c>
    </row>
    <row r="29" spans="2:13" x14ac:dyDescent="0.2">
      <c r="B29" s="2">
        <v>30</v>
      </c>
      <c r="C29" s="2">
        <v>13</v>
      </c>
      <c r="D29" s="2">
        <v>8</v>
      </c>
      <c r="E29" s="2">
        <v>7</v>
      </c>
      <c r="H29">
        <v>45</v>
      </c>
      <c r="I29" s="56">
        <v>750</v>
      </c>
      <c r="L29">
        <v>21</v>
      </c>
    </row>
    <row r="30" spans="2:13" x14ac:dyDescent="0.2">
      <c r="B30" s="2">
        <v>40</v>
      </c>
      <c r="C30" s="2">
        <v>16</v>
      </c>
      <c r="D30" s="2">
        <v>10</v>
      </c>
      <c r="E30" s="2">
        <v>8</v>
      </c>
      <c r="H30">
        <v>50</v>
      </c>
      <c r="I30" s="57">
        <v>800</v>
      </c>
      <c r="L30">
        <v>25</v>
      </c>
    </row>
    <row r="31" spans="2:13" x14ac:dyDescent="0.2">
      <c r="B31" s="2">
        <v>45</v>
      </c>
      <c r="C31" s="2">
        <v>18</v>
      </c>
      <c r="D31" s="2">
        <v>12</v>
      </c>
      <c r="E31" s="2">
        <v>10</v>
      </c>
      <c r="H31">
        <v>55</v>
      </c>
      <c r="I31" s="64">
        <v>1000</v>
      </c>
    </row>
    <row r="32" spans="2:13" x14ac:dyDescent="0.2">
      <c r="B32" s="2">
        <v>50</v>
      </c>
      <c r="C32" s="2">
        <v>21</v>
      </c>
      <c r="D32" s="2">
        <v>14</v>
      </c>
      <c r="E32" s="2">
        <v>11</v>
      </c>
      <c r="H32">
        <v>60</v>
      </c>
      <c r="I32" s="57">
        <v>1500</v>
      </c>
    </row>
    <row r="33" spans="2:9" x14ac:dyDescent="0.2">
      <c r="B33" s="2">
        <v>55</v>
      </c>
      <c r="C33" s="2">
        <v>24</v>
      </c>
      <c r="D33" s="2">
        <v>16</v>
      </c>
      <c r="E33" s="2">
        <v>12</v>
      </c>
      <c r="H33">
        <v>65</v>
      </c>
      <c r="I33" s="57">
        <v>2000</v>
      </c>
    </row>
    <row r="34" spans="2:9" x14ac:dyDescent="0.2">
      <c r="B34" s="2">
        <v>60</v>
      </c>
      <c r="C34" s="2">
        <v>26</v>
      </c>
      <c r="D34" s="2">
        <v>18</v>
      </c>
      <c r="E34" s="2">
        <v>14</v>
      </c>
      <c r="H34">
        <v>70</v>
      </c>
      <c r="I34" s="57">
        <v>5000</v>
      </c>
    </row>
    <row r="35" spans="2:9" x14ac:dyDescent="0.2">
      <c r="B35" s="2">
        <v>70</v>
      </c>
      <c r="C35" s="2">
        <v>30</v>
      </c>
      <c r="D35" s="2">
        <v>20</v>
      </c>
      <c r="E35" s="2">
        <v>15</v>
      </c>
      <c r="H35">
        <v>75</v>
      </c>
      <c r="I35" s="57">
        <v>6000</v>
      </c>
    </row>
    <row r="36" spans="2:9" x14ac:dyDescent="0.2">
      <c r="H36" s="10">
        <v>80</v>
      </c>
      <c r="I36" s="57">
        <v>10000</v>
      </c>
    </row>
    <row r="37" spans="2:9" x14ac:dyDescent="0.2">
      <c r="I37" s="65" t="s">
        <v>61</v>
      </c>
    </row>
    <row r="39" spans="2:9" x14ac:dyDescent="0.2">
      <c r="B39" s="252" t="s">
        <v>126</v>
      </c>
      <c r="C39" s="253"/>
      <c r="D39" s="253"/>
      <c r="E39" s="253"/>
      <c r="F39" s="253"/>
      <c r="G39" s="253"/>
      <c r="H39" s="253"/>
      <c r="I39" s="254"/>
    </row>
    <row r="40" spans="2:9" x14ac:dyDescent="0.2">
      <c r="B40" s="246" t="s">
        <v>125</v>
      </c>
      <c r="C40" s="247"/>
      <c r="D40" s="247"/>
      <c r="E40" s="247"/>
      <c r="F40" s="247"/>
      <c r="G40" s="247"/>
      <c r="H40" s="247"/>
      <c r="I40" s="248"/>
    </row>
    <row r="41" spans="2:9" x14ac:dyDescent="0.2">
      <c r="B41" s="219" t="s">
        <v>0</v>
      </c>
      <c r="C41" s="219" t="s">
        <v>10</v>
      </c>
      <c r="D41" s="251" t="s">
        <v>11</v>
      </c>
      <c r="E41" s="251"/>
      <c r="F41" s="251"/>
      <c r="G41" s="251" t="s">
        <v>12</v>
      </c>
      <c r="H41" s="251"/>
      <c r="I41" s="251"/>
    </row>
    <row r="42" spans="2:9" x14ac:dyDescent="0.2">
      <c r="B42" s="221"/>
      <c r="C42" s="221"/>
      <c r="D42" s="7" t="s">
        <v>102</v>
      </c>
      <c r="E42" s="7" t="s">
        <v>101</v>
      </c>
      <c r="F42" s="109" t="s">
        <v>103</v>
      </c>
      <c r="G42" s="109" t="s">
        <v>103</v>
      </c>
      <c r="H42" s="7" t="s">
        <v>101</v>
      </c>
      <c r="I42" s="7" t="s">
        <v>102</v>
      </c>
    </row>
    <row r="43" spans="2:9" x14ac:dyDescent="0.2">
      <c r="B43" s="216" t="s">
        <v>41</v>
      </c>
      <c r="C43" s="35">
        <v>750</v>
      </c>
      <c r="D43" s="58">
        <v>6</v>
      </c>
      <c r="E43" s="58">
        <v>7</v>
      </c>
      <c r="F43" s="59"/>
      <c r="G43" s="60">
        <v>6</v>
      </c>
      <c r="H43" s="58">
        <v>6</v>
      </c>
      <c r="I43" s="58">
        <v>7</v>
      </c>
    </row>
    <row r="44" spans="2:9" x14ac:dyDescent="0.2">
      <c r="B44" s="217"/>
      <c r="C44" s="35">
        <v>800</v>
      </c>
      <c r="D44" s="58">
        <v>7</v>
      </c>
      <c r="E44" s="58">
        <v>8</v>
      </c>
      <c r="F44" s="59"/>
      <c r="G44" s="60">
        <v>6</v>
      </c>
      <c r="H44" s="58">
        <v>6</v>
      </c>
      <c r="I44" s="58">
        <v>7</v>
      </c>
    </row>
    <row r="45" spans="2:9" x14ac:dyDescent="0.2">
      <c r="B45" s="217"/>
      <c r="C45" s="35">
        <v>1500</v>
      </c>
      <c r="D45" s="58">
        <v>7</v>
      </c>
      <c r="E45" s="58">
        <v>8</v>
      </c>
      <c r="F45" s="59"/>
      <c r="G45" s="60">
        <v>6</v>
      </c>
      <c r="H45" s="58">
        <v>6</v>
      </c>
      <c r="I45" s="58">
        <v>7</v>
      </c>
    </row>
    <row r="46" spans="2:9" x14ac:dyDescent="0.2">
      <c r="B46" s="217"/>
      <c r="C46" s="35">
        <v>2000</v>
      </c>
      <c r="D46" s="58">
        <v>8</v>
      </c>
      <c r="E46" s="58">
        <v>10</v>
      </c>
      <c r="F46" s="59"/>
      <c r="G46" s="60">
        <v>7</v>
      </c>
      <c r="H46" s="58">
        <v>7</v>
      </c>
      <c r="I46" s="58">
        <v>8</v>
      </c>
    </row>
    <row r="47" spans="2:9" x14ac:dyDescent="0.2">
      <c r="B47" s="217"/>
      <c r="C47" s="35">
        <v>6000</v>
      </c>
      <c r="D47" s="58">
        <v>8</v>
      </c>
      <c r="E47" s="58">
        <v>10</v>
      </c>
      <c r="F47" s="59"/>
      <c r="G47" s="60">
        <v>7</v>
      </c>
      <c r="H47" s="58">
        <v>7</v>
      </c>
      <c r="I47" s="58">
        <v>8</v>
      </c>
    </row>
    <row r="48" spans="2:9" x14ac:dyDescent="0.2">
      <c r="B48" s="217"/>
      <c r="C48" s="35">
        <v>10000</v>
      </c>
      <c r="D48" s="58">
        <v>10</v>
      </c>
      <c r="E48" s="58">
        <v>10</v>
      </c>
      <c r="F48" s="59"/>
      <c r="G48" s="60">
        <v>8</v>
      </c>
      <c r="H48" s="58">
        <v>8</v>
      </c>
      <c r="I48" s="58">
        <v>10</v>
      </c>
    </row>
    <row r="49" spans="2:9" x14ac:dyDescent="0.2">
      <c r="B49" s="218"/>
      <c r="C49" s="35" t="s">
        <v>61</v>
      </c>
      <c r="D49" s="58">
        <v>10</v>
      </c>
      <c r="E49" s="58">
        <v>10</v>
      </c>
      <c r="F49" s="59"/>
      <c r="G49" s="60">
        <v>8</v>
      </c>
      <c r="H49" s="58">
        <v>8</v>
      </c>
      <c r="I49" s="58">
        <v>10</v>
      </c>
    </row>
    <row r="50" spans="2:9" x14ac:dyDescent="0.2">
      <c r="B50" s="219" t="s">
        <v>42</v>
      </c>
      <c r="C50" s="7">
        <v>750</v>
      </c>
      <c r="D50" s="61">
        <v>7</v>
      </c>
      <c r="E50" s="61">
        <v>8</v>
      </c>
      <c r="F50" s="62"/>
      <c r="G50" s="63">
        <v>6</v>
      </c>
      <c r="H50" s="61">
        <v>6</v>
      </c>
      <c r="I50" s="61">
        <v>7</v>
      </c>
    </row>
    <row r="51" spans="2:9" x14ac:dyDescent="0.2">
      <c r="B51" s="220"/>
      <c r="C51" s="7">
        <v>800</v>
      </c>
      <c r="D51" s="61">
        <v>8</v>
      </c>
      <c r="E51" s="61">
        <v>10</v>
      </c>
      <c r="F51" s="62"/>
      <c r="G51" s="63">
        <v>7</v>
      </c>
      <c r="H51" s="61">
        <v>7</v>
      </c>
      <c r="I51" s="61">
        <v>8</v>
      </c>
    </row>
    <row r="52" spans="2:9" x14ac:dyDescent="0.2">
      <c r="B52" s="220"/>
      <c r="C52" s="7">
        <v>1500</v>
      </c>
      <c r="D52" s="61">
        <v>8</v>
      </c>
      <c r="E52" s="61">
        <v>10</v>
      </c>
      <c r="F52" s="62"/>
      <c r="G52" s="63">
        <v>7</v>
      </c>
      <c r="H52" s="61">
        <v>7</v>
      </c>
      <c r="I52" s="61">
        <v>8</v>
      </c>
    </row>
    <row r="53" spans="2:9" x14ac:dyDescent="0.2">
      <c r="B53" s="220"/>
      <c r="C53" s="7">
        <v>2000</v>
      </c>
      <c r="D53" s="61">
        <v>10</v>
      </c>
      <c r="E53" s="61">
        <v>10</v>
      </c>
      <c r="F53" s="62"/>
      <c r="G53" s="63">
        <v>8</v>
      </c>
      <c r="H53" s="61">
        <v>8</v>
      </c>
      <c r="I53" s="61">
        <v>10</v>
      </c>
    </row>
    <row r="54" spans="2:9" x14ac:dyDescent="0.2">
      <c r="B54" s="220"/>
      <c r="C54" s="7">
        <v>6000</v>
      </c>
      <c r="D54" s="61">
        <v>10</v>
      </c>
      <c r="E54" s="61">
        <v>10</v>
      </c>
      <c r="F54" s="62"/>
      <c r="G54" s="63">
        <v>8</v>
      </c>
      <c r="H54" s="61">
        <v>8</v>
      </c>
      <c r="I54" s="61">
        <v>10</v>
      </c>
    </row>
    <row r="55" spans="2:9" x14ac:dyDescent="0.2">
      <c r="B55" s="220"/>
      <c r="C55" s="7">
        <v>10000</v>
      </c>
      <c r="D55" s="61">
        <v>10</v>
      </c>
      <c r="E55" s="61">
        <v>12</v>
      </c>
      <c r="F55" s="62"/>
      <c r="G55" s="63">
        <v>10</v>
      </c>
      <c r="H55" s="61">
        <v>10</v>
      </c>
      <c r="I55" s="61">
        <v>10</v>
      </c>
    </row>
    <row r="56" spans="2:9" x14ac:dyDescent="0.2">
      <c r="B56" s="221"/>
      <c r="C56" s="7" t="s">
        <v>61</v>
      </c>
      <c r="D56" s="61">
        <v>10</v>
      </c>
      <c r="E56" s="61">
        <v>12</v>
      </c>
      <c r="F56" s="62"/>
      <c r="G56" s="63">
        <v>10</v>
      </c>
      <c r="H56" s="61">
        <v>10</v>
      </c>
      <c r="I56" s="61">
        <v>10</v>
      </c>
    </row>
    <row r="57" spans="2:9" x14ac:dyDescent="0.2">
      <c r="B57" s="216" t="s">
        <v>43</v>
      </c>
      <c r="C57" s="35">
        <v>750</v>
      </c>
      <c r="D57" s="58">
        <v>8</v>
      </c>
      <c r="E57" s="58">
        <v>10</v>
      </c>
      <c r="F57" s="59"/>
      <c r="G57" s="60">
        <v>7</v>
      </c>
      <c r="H57" s="58">
        <v>7</v>
      </c>
      <c r="I57" s="58">
        <v>8</v>
      </c>
    </row>
    <row r="58" spans="2:9" x14ac:dyDescent="0.2">
      <c r="B58" s="217"/>
      <c r="C58" s="35">
        <v>800</v>
      </c>
      <c r="D58" s="58">
        <v>10</v>
      </c>
      <c r="E58" s="58">
        <v>12</v>
      </c>
      <c r="F58" s="59"/>
      <c r="G58" s="60">
        <v>8</v>
      </c>
      <c r="H58" s="58">
        <v>8</v>
      </c>
      <c r="I58" s="58">
        <v>10</v>
      </c>
    </row>
    <row r="59" spans="2:9" x14ac:dyDescent="0.2">
      <c r="B59" s="217"/>
      <c r="C59" s="35">
        <v>1500</v>
      </c>
      <c r="D59" s="58">
        <v>10</v>
      </c>
      <c r="E59" s="58">
        <v>12</v>
      </c>
      <c r="F59" s="59"/>
      <c r="G59" s="60">
        <v>8</v>
      </c>
      <c r="H59" s="58">
        <v>8</v>
      </c>
      <c r="I59" s="58">
        <v>10</v>
      </c>
    </row>
    <row r="60" spans="2:9" x14ac:dyDescent="0.2">
      <c r="B60" s="217"/>
      <c r="C60" s="35">
        <v>2000</v>
      </c>
      <c r="D60" s="58">
        <v>12</v>
      </c>
      <c r="E60" s="58">
        <v>14</v>
      </c>
      <c r="F60" s="59"/>
      <c r="G60" s="60">
        <v>10</v>
      </c>
      <c r="H60" s="58">
        <v>10</v>
      </c>
      <c r="I60" s="58">
        <v>12</v>
      </c>
    </row>
    <row r="61" spans="2:9" x14ac:dyDescent="0.2">
      <c r="B61" s="217"/>
      <c r="C61" s="35">
        <v>6000</v>
      </c>
      <c r="D61" s="58">
        <v>12</v>
      </c>
      <c r="E61" s="58">
        <v>14</v>
      </c>
      <c r="F61" s="59"/>
      <c r="G61" s="60">
        <v>10</v>
      </c>
      <c r="H61" s="58">
        <v>10</v>
      </c>
      <c r="I61" s="58">
        <v>12</v>
      </c>
    </row>
    <row r="62" spans="2:9" x14ac:dyDescent="0.2">
      <c r="B62" s="217"/>
      <c r="C62" s="35">
        <v>10000</v>
      </c>
      <c r="D62" s="58">
        <v>14</v>
      </c>
      <c r="E62" s="58">
        <v>16</v>
      </c>
      <c r="F62" s="59"/>
      <c r="G62" s="60">
        <v>12</v>
      </c>
      <c r="H62" s="58">
        <v>12</v>
      </c>
      <c r="I62" s="58">
        <v>14</v>
      </c>
    </row>
    <row r="63" spans="2:9" x14ac:dyDescent="0.2">
      <c r="B63" s="218"/>
      <c r="C63" s="35" t="s">
        <v>61</v>
      </c>
      <c r="D63" s="58">
        <v>14</v>
      </c>
      <c r="E63" s="58">
        <v>16</v>
      </c>
      <c r="F63" s="59"/>
      <c r="G63" s="60">
        <v>12</v>
      </c>
      <c r="H63" s="58">
        <v>12</v>
      </c>
      <c r="I63" s="58">
        <v>14</v>
      </c>
    </row>
    <row r="64" spans="2:9" x14ac:dyDescent="0.2">
      <c r="B64" s="219" t="s">
        <v>44</v>
      </c>
      <c r="C64" s="7">
        <v>750</v>
      </c>
      <c r="D64" s="7">
        <v>10</v>
      </c>
      <c r="E64" s="7">
        <v>10</v>
      </c>
      <c r="F64" s="7"/>
      <c r="G64" s="7">
        <v>10</v>
      </c>
      <c r="H64" s="7">
        <v>10</v>
      </c>
      <c r="I64" s="7">
        <v>10</v>
      </c>
    </row>
    <row r="65" spans="2:9" x14ac:dyDescent="0.2">
      <c r="B65" s="220"/>
      <c r="C65" s="7">
        <v>800</v>
      </c>
      <c r="D65" s="7">
        <v>12</v>
      </c>
      <c r="E65" s="7">
        <v>14</v>
      </c>
      <c r="F65" s="7"/>
      <c r="G65" s="7">
        <v>14</v>
      </c>
      <c r="H65" s="7">
        <v>14</v>
      </c>
      <c r="I65" s="7">
        <v>14</v>
      </c>
    </row>
    <row r="66" spans="2:9" x14ac:dyDescent="0.2">
      <c r="B66" s="220"/>
      <c r="C66" s="7">
        <v>1500</v>
      </c>
      <c r="D66" s="7">
        <v>12</v>
      </c>
      <c r="E66" s="7">
        <v>14</v>
      </c>
      <c r="F66" s="7"/>
      <c r="G66" s="7">
        <v>14</v>
      </c>
      <c r="H66" s="7">
        <v>14</v>
      </c>
      <c r="I66" s="7">
        <v>14</v>
      </c>
    </row>
    <row r="67" spans="2:9" x14ac:dyDescent="0.2">
      <c r="B67" s="220"/>
      <c r="C67" s="7">
        <v>2000</v>
      </c>
      <c r="D67" s="7">
        <v>14</v>
      </c>
      <c r="E67" s="7">
        <v>16</v>
      </c>
      <c r="F67" s="7"/>
      <c r="G67" s="7">
        <v>16</v>
      </c>
      <c r="H67" s="7">
        <v>16</v>
      </c>
      <c r="I67" s="7">
        <v>16</v>
      </c>
    </row>
    <row r="68" spans="2:9" x14ac:dyDescent="0.2">
      <c r="B68" s="220"/>
      <c r="C68" s="7">
        <v>6000</v>
      </c>
      <c r="D68" s="7">
        <v>14</v>
      </c>
      <c r="E68" s="7">
        <v>16</v>
      </c>
      <c r="F68" s="7"/>
      <c r="G68" s="7">
        <v>16</v>
      </c>
      <c r="H68" s="7">
        <v>16</v>
      </c>
      <c r="I68" s="7">
        <v>16</v>
      </c>
    </row>
    <row r="69" spans="2:9" x14ac:dyDescent="0.2">
      <c r="B69" s="220"/>
      <c r="C69" s="7">
        <v>10000</v>
      </c>
      <c r="D69" s="7">
        <v>16</v>
      </c>
      <c r="E69" s="7">
        <v>18</v>
      </c>
      <c r="F69" s="7"/>
      <c r="G69" s="7">
        <v>18</v>
      </c>
      <c r="H69" s="7">
        <v>18</v>
      </c>
      <c r="I69" s="7">
        <v>18</v>
      </c>
    </row>
    <row r="70" spans="2:9" x14ac:dyDescent="0.2">
      <c r="B70" s="221"/>
      <c r="C70" s="7" t="s">
        <v>61</v>
      </c>
      <c r="D70" s="7">
        <v>16</v>
      </c>
      <c r="E70" s="7">
        <v>18</v>
      </c>
      <c r="F70" s="7"/>
      <c r="G70" s="7">
        <v>18</v>
      </c>
      <c r="H70" s="7">
        <v>18</v>
      </c>
      <c r="I70" s="7">
        <v>18</v>
      </c>
    </row>
    <row r="71" spans="2:9" x14ac:dyDescent="0.2">
      <c r="B71" s="216" t="s">
        <v>13</v>
      </c>
      <c r="C71" s="35">
        <v>750</v>
      </c>
      <c r="D71" s="35">
        <v>12</v>
      </c>
      <c r="E71" s="35">
        <v>14</v>
      </c>
      <c r="F71" s="35"/>
      <c r="G71" s="35">
        <v>10</v>
      </c>
      <c r="H71" s="35">
        <v>10</v>
      </c>
      <c r="I71" s="35">
        <v>12</v>
      </c>
    </row>
    <row r="72" spans="2:9" x14ac:dyDescent="0.2">
      <c r="B72" s="217"/>
      <c r="C72" s="35">
        <v>800</v>
      </c>
      <c r="D72" s="35">
        <v>16</v>
      </c>
      <c r="E72" s="35">
        <v>20</v>
      </c>
      <c r="F72" s="35"/>
      <c r="G72" s="35">
        <v>12</v>
      </c>
      <c r="H72" s="35">
        <v>14</v>
      </c>
      <c r="I72" s="35">
        <v>16</v>
      </c>
    </row>
    <row r="73" spans="2:9" x14ac:dyDescent="0.2">
      <c r="B73" s="217"/>
      <c r="C73" s="35">
        <v>1500</v>
      </c>
      <c r="D73" s="35">
        <v>16</v>
      </c>
      <c r="E73" s="35">
        <v>20</v>
      </c>
      <c r="F73" s="35"/>
      <c r="G73" s="35">
        <v>12</v>
      </c>
      <c r="H73" s="35">
        <v>14</v>
      </c>
      <c r="I73" s="35">
        <v>16</v>
      </c>
    </row>
    <row r="74" spans="2:9" x14ac:dyDescent="0.2">
      <c r="B74" s="217"/>
      <c r="C74" s="35">
        <v>2000</v>
      </c>
      <c r="D74" s="35">
        <v>18</v>
      </c>
      <c r="E74" s="35">
        <v>26</v>
      </c>
      <c r="F74" s="35"/>
      <c r="G74" s="35">
        <v>14</v>
      </c>
      <c r="H74" s="35">
        <v>16</v>
      </c>
      <c r="I74" s="35">
        <v>18</v>
      </c>
    </row>
    <row r="75" spans="2:9" x14ac:dyDescent="0.2">
      <c r="B75" s="217"/>
      <c r="C75" s="35">
        <v>6000</v>
      </c>
      <c r="D75" s="35">
        <v>18</v>
      </c>
      <c r="E75" s="35">
        <v>26</v>
      </c>
      <c r="F75" s="35"/>
      <c r="G75" s="35">
        <v>14</v>
      </c>
      <c r="H75" s="35">
        <v>16</v>
      </c>
      <c r="I75" s="35">
        <v>18</v>
      </c>
    </row>
    <row r="76" spans="2:9" x14ac:dyDescent="0.2">
      <c r="B76" s="217"/>
      <c r="C76" s="35">
        <v>10000</v>
      </c>
      <c r="D76" s="35">
        <v>22</v>
      </c>
      <c r="E76" s="35">
        <v>28</v>
      </c>
      <c r="F76" s="35"/>
      <c r="G76" s="35">
        <v>16</v>
      </c>
      <c r="H76" s="35">
        <v>20</v>
      </c>
      <c r="I76" s="35">
        <v>22</v>
      </c>
    </row>
    <row r="77" spans="2:9" x14ac:dyDescent="0.2">
      <c r="B77" s="218"/>
      <c r="C77" s="35" t="s">
        <v>61</v>
      </c>
      <c r="D77" s="35">
        <v>22</v>
      </c>
      <c r="E77" s="35">
        <v>28</v>
      </c>
      <c r="F77" s="35"/>
      <c r="G77" s="35">
        <v>16</v>
      </c>
      <c r="H77" s="35">
        <v>20</v>
      </c>
      <c r="I77" s="35">
        <v>22</v>
      </c>
    </row>
    <row r="78" spans="2:9" x14ac:dyDescent="0.2">
      <c r="B78" s="219" t="s">
        <v>15</v>
      </c>
      <c r="C78" s="7">
        <v>750</v>
      </c>
      <c r="D78" s="7">
        <v>14</v>
      </c>
      <c r="E78" s="7">
        <v>18</v>
      </c>
      <c r="F78" s="7"/>
      <c r="G78" s="7">
        <v>10</v>
      </c>
      <c r="H78" s="7">
        <v>12</v>
      </c>
      <c r="I78" s="7">
        <v>12</v>
      </c>
    </row>
    <row r="79" spans="2:9" x14ac:dyDescent="0.2">
      <c r="B79" s="220"/>
      <c r="C79" s="7">
        <v>800</v>
      </c>
      <c r="D79" s="7">
        <v>18</v>
      </c>
      <c r="E79" s="7">
        <v>24</v>
      </c>
      <c r="F79" s="7"/>
      <c r="G79" s="7">
        <v>12</v>
      </c>
      <c r="H79" s="7">
        <v>16</v>
      </c>
      <c r="I79" s="7">
        <v>18</v>
      </c>
    </row>
    <row r="80" spans="2:9" x14ac:dyDescent="0.2">
      <c r="B80" s="220"/>
      <c r="C80" s="7">
        <v>1500</v>
      </c>
      <c r="D80" s="7">
        <v>18</v>
      </c>
      <c r="E80" s="7">
        <v>24</v>
      </c>
      <c r="F80" s="7"/>
      <c r="G80" s="7">
        <v>12</v>
      </c>
      <c r="H80" s="7">
        <v>16</v>
      </c>
      <c r="I80" s="7">
        <v>18</v>
      </c>
    </row>
    <row r="81" spans="2:9" x14ac:dyDescent="0.2">
      <c r="B81" s="220"/>
      <c r="C81" s="7">
        <v>2000</v>
      </c>
      <c r="D81" s="7">
        <v>22</v>
      </c>
      <c r="E81" s="7">
        <v>30</v>
      </c>
      <c r="F81" s="7"/>
      <c r="G81" s="7">
        <v>16</v>
      </c>
      <c r="H81" s="7">
        <v>18</v>
      </c>
      <c r="I81" s="7">
        <v>22</v>
      </c>
    </row>
    <row r="82" spans="2:9" x14ac:dyDescent="0.2">
      <c r="B82" s="220"/>
      <c r="C82" s="7">
        <v>6000</v>
      </c>
      <c r="D82" s="7">
        <v>22</v>
      </c>
      <c r="E82" s="7">
        <v>30</v>
      </c>
      <c r="F82" s="7"/>
      <c r="G82" s="7">
        <v>16</v>
      </c>
      <c r="H82" s="7">
        <v>18</v>
      </c>
      <c r="I82" s="7">
        <v>22</v>
      </c>
    </row>
    <row r="83" spans="2:9" x14ac:dyDescent="0.2">
      <c r="B83" s="220"/>
      <c r="C83" s="7">
        <v>10000</v>
      </c>
      <c r="D83" s="7">
        <v>24</v>
      </c>
      <c r="E83" s="7">
        <v>30</v>
      </c>
      <c r="F83" s="7"/>
      <c r="G83" s="7">
        <v>18</v>
      </c>
      <c r="H83" s="7">
        <v>22</v>
      </c>
      <c r="I83" s="7">
        <v>24</v>
      </c>
    </row>
    <row r="84" spans="2:9" x14ac:dyDescent="0.2">
      <c r="B84" s="221"/>
      <c r="C84" s="7" t="s">
        <v>61</v>
      </c>
      <c r="D84" s="7">
        <v>24</v>
      </c>
      <c r="E84" s="7">
        <v>30</v>
      </c>
      <c r="F84" s="7"/>
      <c r="G84" s="7">
        <v>18</v>
      </c>
      <c r="H84" s="7">
        <v>22</v>
      </c>
      <c r="I84" s="7">
        <v>24</v>
      </c>
    </row>
    <row r="85" spans="2:9" x14ac:dyDescent="0.2">
      <c r="B85" s="216" t="s">
        <v>16</v>
      </c>
      <c r="C85" s="35">
        <v>750</v>
      </c>
      <c r="D85" s="35">
        <v>18</v>
      </c>
      <c r="E85" s="35">
        <v>24</v>
      </c>
      <c r="F85" s="35"/>
      <c r="G85" s="35">
        <v>12</v>
      </c>
      <c r="H85" s="35">
        <v>14</v>
      </c>
      <c r="I85" s="35">
        <v>16</v>
      </c>
    </row>
    <row r="86" spans="2:9" x14ac:dyDescent="0.2">
      <c r="B86" s="217"/>
      <c r="C86" s="35">
        <v>800</v>
      </c>
      <c r="D86" s="35">
        <v>24</v>
      </c>
      <c r="E86" s="35">
        <v>30</v>
      </c>
      <c r="F86" s="35"/>
      <c r="G86" s="35">
        <v>14</v>
      </c>
      <c r="H86" s="35">
        <v>18</v>
      </c>
      <c r="I86" s="35">
        <v>22</v>
      </c>
    </row>
    <row r="87" spans="2:9" x14ac:dyDescent="0.2">
      <c r="B87" s="217"/>
      <c r="C87" s="35">
        <v>1500</v>
      </c>
      <c r="D87" s="35">
        <v>24</v>
      </c>
      <c r="E87" s="35">
        <v>30</v>
      </c>
      <c r="F87" s="35"/>
      <c r="G87" s="35">
        <v>14</v>
      </c>
      <c r="H87" s="35">
        <v>18</v>
      </c>
      <c r="I87" s="35">
        <v>22</v>
      </c>
    </row>
    <row r="88" spans="2:9" x14ac:dyDescent="0.2">
      <c r="B88" s="217"/>
      <c r="C88" s="35">
        <v>2000</v>
      </c>
      <c r="D88" s="35">
        <v>30</v>
      </c>
      <c r="E88" s="35">
        <v>30</v>
      </c>
      <c r="F88" s="35"/>
      <c r="G88" s="35">
        <v>18</v>
      </c>
      <c r="H88" s="35">
        <v>22</v>
      </c>
      <c r="I88" s="35">
        <v>26</v>
      </c>
    </row>
    <row r="89" spans="2:9" x14ac:dyDescent="0.2">
      <c r="B89" s="217"/>
      <c r="C89" s="35">
        <v>6000</v>
      </c>
      <c r="D89" s="35">
        <v>30</v>
      </c>
      <c r="E89" s="35">
        <v>30</v>
      </c>
      <c r="F89" s="35"/>
      <c r="G89" s="35">
        <v>18</v>
      </c>
      <c r="H89" s="35">
        <v>22</v>
      </c>
      <c r="I89" s="35">
        <v>26</v>
      </c>
    </row>
    <row r="90" spans="2:9" x14ac:dyDescent="0.2">
      <c r="B90" s="217"/>
      <c r="C90" s="35">
        <v>10000</v>
      </c>
      <c r="D90" s="35">
        <v>32</v>
      </c>
      <c r="E90" s="35">
        <v>30</v>
      </c>
      <c r="F90" s="35"/>
      <c r="G90" s="35">
        <v>22</v>
      </c>
      <c r="H90" s="35">
        <v>26</v>
      </c>
      <c r="I90" s="35">
        <v>28</v>
      </c>
    </row>
    <row r="91" spans="2:9" x14ac:dyDescent="0.2">
      <c r="B91" s="218"/>
      <c r="C91" s="35" t="s">
        <v>61</v>
      </c>
      <c r="D91" s="35">
        <v>32</v>
      </c>
      <c r="E91" s="35">
        <v>30</v>
      </c>
      <c r="F91" s="35"/>
      <c r="G91" s="35">
        <v>22</v>
      </c>
      <c r="H91" s="35">
        <v>26</v>
      </c>
      <c r="I91" s="35">
        <v>28</v>
      </c>
    </row>
    <row r="92" spans="2:9" x14ac:dyDescent="0.2">
      <c r="B92" s="222" t="s">
        <v>17</v>
      </c>
      <c r="C92" s="7">
        <v>750</v>
      </c>
      <c r="D92" s="7">
        <v>20</v>
      </c>
      <c r="E92" s="7">
        <v>26</v>
      </c>
      <c r="F92" s="7"/>
      <c r="G92" s="7">
        <v>12</v>
      </c>
      <c r="H92" s="7">
        <v>16</v>
      </c>
      <c r="I92" s="7">
        <v>16</v>
      </c>
    </row>
    <row r="93" spans="2:9" x14ac:dyDescent="0.2">
      <c r="B93" s="223"/>
      <c r="C93" s="7">
        <v>800</v>
      </c>
      <c r="D93" s="7">
        <v>26</v>
      </c>
      <c r="E93" s="7">
        <v>30</v>
      </c>
      <c r="F93" s="7"/>
      <c r="G93" s="7">
        <v>16</v>
      </c>
      <c r="H93" s="7">
        <v>20</v>
      </c>
      <c r="I93" s="7">
        <v>22</v>
      </c>
    </row>
    <row r="94" spans="2:9" x14ac:dyDescent="0.2">
      <c r="B94" s="223"/>
      <c r="C94" s="7">
        <v>1500</v>
      </c>
      <c r="D94" s="7">
        <v>26</v>
      </c>
      <c r="E94" s="7">
        <v>30</v>
      </c>
      <c r="F94" s="7"/>
      <c r="G94" s="7">
        <v>16</v>
      </c>
      <c r="H94" s="7">
        <v>20</v>
      </c>
      <c r="I94" s="7">
        <v>22</v>
      </c>
    </row>
    <row r="95" spans="2:9" x14ac:dyDescent="0.2">
      <c r="B95" s="223"/>
      <c r="C95" s="7">
        <v>2000</v>
      </c>
      <c r="D95" s="7">
        <v>30</v>
      </c>
      <c r="E95" s="7">
        <v>30</v>
      </c>
      <c r="F95" s="7"/>
      <c r="G95" s="7">
        <v>20</v>
      </c>
      <c r="H95" s="7">
        <v>24</v>
      </c>
      <c r="I95" s="7">
        <v>28</v>
      </c>
    </row>
    <row r="96" spans="2:9" x14ac:dyDescent="0.2">
      <c r="B96" s="223"/>
      <c r="C96" s="7">
        <v>6000</v>
      </c>
      <c r="D96" s="7">
        <v>30</v>
      </c>
      <c r="E96" s="7">
        <v>30</v>
      </c>
      <c r="F96" s="7"/>
      <c r="G96" s="7">
        <v>20</v>
      </c>
      <c r="H96" s="7">
        <v>24</v>
      </c>
      <c r="I96" s="7">
        <v>28</v>
      </c>
    </row>
    <row r="97" spans="2:15" x14ac:dyDescent="0.2">
      <c r="B97" s="223"/>
      <c r="C97" s="7">
        <v>10000</v>
      </c>
      <c r="D97" s="7">
        <v>30</v>
      </c>
      <c r="E97" s="7">
        <v>30</v>
      </c>
      <c r="F97" s="7"/>
      <c r="G97" s="7">
        <v>24</v>
      </c>
      <c r="H97" s="7">
        <v>30</v>
      </c>
      <c r="I97" s="7">
        <v>30</v>
      </c>
    </row>
    <row r="98" spans="2:15" x14ac:dyDescent="0.2">
      <c r="B98" s="223"/>
      <c r="C98" s="7" t="s">
        <v>61</v>
      </c>
      <c r="D98" s="7">
        <v>30</v>
      </c>
      <c r="E98" s="7">
        <v>30</v>
      </c>
      <c r="F98" s="7"/>
      <c r="G98" s="7">
        <v>24</v>
      </c>
      <c r="H98" s="7">
        <v>30</v>
      </c>
      <c r="I98" s="7">
        <v>30</v>
      </c>
    </row>
    <row r="100" spans="2:15" ht="25.5" customHeight="1" x14ac:dyDescent="0.2">
      <c r="B100" s="224" t="s">
        <v>129</v>
      </c>
      <c r="C100" s="224"/>
      <c r="D100" s="224"/>
      <c r="E100" s="224"/>
      <c r="F100" s="224"/>
      <c r="G100" s="224"/>
      <c r="H100" s="224"/>
      <c r="I100" s="224"/>
      <c r="J100" s="224"/>
      <c r="K100" s="224"/>
      <c r="L100" s="224"/>
      <c r="M100" s="224"/>
      <c r="N100" s="224"/>
    </row>
    <row r="102" spans="2:15" x14ac:dyDescent="0.2">
      <c r="B102" s="214" t="s">
        <v>82</v>
      </c>
      <c r="C102" s="215"/>
      <c r="D102" s="215"/>
      <c r="E102" s="215"/>
      <c r="F102" s="215"/>
      <c r="G102" s="215"/>
      <c r="H102" s="215"/>
      <c r="I102" s="215"/>
      <c r="J102" s="215"/>
      <c r="K102" s="215"/>
      <c r="L102" s="215"/>
      <c r="M102" s="215"/>
      <c r="N102" s="215"/>
    </row>
    <row r="103" spans="2:15" x14ac:dyDescent="0.2">
      <c r="B103" s="210" t="s">
        <v>86</v>
      </c>
      <c r="C103" s="211"/>
      <c r="D103" s="211"/>
      <c r="E103" s="211"/>
      <c r="F103" s="211"/>
      <c r="G103" s="211"/>
      <c r="H103" s="211"/>
      <c r="I103" s="211"/>
      <c r="J103" s="211"/>
      <c r="K103" s="211"/>
      <c r="L103" s="211"/>
      <c r="M103" s="211"/>
      <c r="N103" s="211"/>
      <c r="O103" s="32"/>
    </row>
    <row r="104" spans="2:15" x14ac:dyDescent="0.2">
      <c r="B104" s="212" t="s">
        <v>32</v>
      </c>
      <c r="C104" s="210" t="s">
        <v>31</v>
      </c>
      <c r="D104" s="211"/>
      <c r="E104" s="211"/>
      <c r="F104" s="211"/>
      <c r="G104" s="211"/>
      <c r="H104" s="211"/>
      <c r="I104" s="211"/>
      <c r="J104" s="211"/>
      <c r="K104" s="211"/>
      <c r="L104" s="211"/>
      <c r="M104" s="211"/>
      <c r="N104" s="211"/>
      <c r="O104" s="32"/>
    </row>
    <row r="105" spans="2:15" x14ac:dyDescent="0.2">
      <c r="B105" s="213"/>
      <c r="C105" s="8">
        <v>330</v>
      </c>
      <c r="D105" s="8">
        <v>495</v>
      </c>
      <c r="E105" s="8">
        <v>660</v>
      </c>
      <c r="F105" s="8">
        <v>820</v>
      </c>
      <c r="G105" s="8">
        <v>985</v>
      </c>
      <c r="H105" s="8">
        <v>1150</v>
      </c>
      <c r="I105" s="8">
        <v>1315</v>
      </c>
      <c r="J105" s="8">
        <v>1475</v>
      </c>
      <c r="K105" s="8">
        <v>1640</v>
      </c>
      <c r="L105" s="8">
        <v>1970</v>
      </c>
      <c r="M105" s="8">
        <v>2300</v>
      </c>
      <c r="N105" s="8">
        <v>2950</v>
      </c>
    </row>
    <row r="106" spans="2:15" x14ac:dyDescent="0.2">
      <c r="B106" s="11"/>
      <c r="C106" s="8">
        <v>2</v>
      </c>
      <c r="D106" s="8">
        <v>3</v>
      </c>
      <c r="E106" s="8">
        <v>4</v>
      </c>
      <c r="F106" s="8">
        <v>5</v>
      </c>
      <c r="G106" s="8">
        <v>6</v>
      </c>
      <c r="H106" s="8">
        <v>7</v>
      </c>
      <c r="I106" s="8">
        <v>8</v>
      </c>
      <c r="J106" s="8">
        <v>9</v>
      </c>
      <c r="K106" s="8">
        <v>10</v>
      </c>
      <c r="L106" s="8">
        <v>11</v>
      </c>
      <c r="M106" s="8">
        <v>12</v>
      </c>
      <c r="N106" s="8">
        <v>13</v>
      </c>
    </row>
    <row r="107" spans="2:15" x14ac:dyDescent="0.2">
      <c r="B107" s="92">
        <v>25</v>
      </c>
      <c r="C107" s="93">
        <v>1.4</v>
      </c>
      <c r="D107" s="93">
        <v>1.3</v>
      </c>
      <c r="E107" s="93">
        <v>1.2</v>
      </c>
      <c r="F107" s="8">
        <v>1.2</v>
      </c>
      <c r="G107" s="93">
        <v>1.2</v>
      </c>
      <c r="H107" s="8">
        <v>1.2</v>
      </c>
      <c r="I107" s="93">
        <v>1.1000000000000001</v>
      </c>
      <c r="J107" s="93">
        <v>1.1000000000000001</v>
      </c>
      <c r="K107" s="93">
        <v>1.1000000000000001</v>
      </c>
      <c r="L107" s="93">
        <v>1.1000000000000001</v>
      </c>
      <c r="M107" s="93">
        <v>1.1000000000000001</v>
      </c>
      <c r="N107" s="93">
        <v>1.1000000000000001</v>
      </c>
    </row>
    <row r="108" spans="2:15" x14ac:dyDescent="0.2">
      <c r="B108" s="92">
        <v>30</v>
      </c>
      <c r="C108" s="93">
        <v>1.4</v>
      </c>
      <c r="D108" s="93">
        <v>1.3</v>
      </c>
      <c r="E108" s="93">
        <v>1.2</v>
      </c>
      <c r="F108" s="8">
        <v>1.2</v>
      </c>
      <c r="G108" s="93">
        <v>1.2</v>
      </c>
      <c r="H108" s="8">
        <v>1.2</v>
      </c>
      <c r="I108" s="93">
        <v>1.2</v>
      </c>
      <c r="J108" s="93">
        <v>1.1000000000000001</v>
      </c>
      <c r="K108" s="93">
        <v>1.1000000000000001</v>
      </c>
      <c r="L108" s="93">
        <v>1.1000000000000001</v>
      </c>
      <c r="M108" s="93">
        <v>1.1000000000000001</v>
      </c>
      <c r="N108" s="93">
        <v>1.1000000000000001</v>
      </c>
    </row>
    <row r="109" spans="2:15" x14ac:dyDescent="0.2">
      <c r="B109" s="92">
        <v>35</v>
      </c>
      <c r="C109" s="93">
        <v>1.5</v>
      </c>
      <c r="D109" s="93">
        <v>1.4</v>
      </c>
      <c r="E109" s="93">
        <v>1.3</v>
      </c>
      <c r="F109" s="8">
        <v>1.2</v>
      </c>
      <c r="G109" s="93">
        <v>1.2</v>
      </c>
      <c r="H109" s="8">
        <v>1.2</v>
      </c>
      <c r="I109" s="93">
        <v>1.2</v>
      </c>
      <c r="J109" s="93">
        <v>1.1000000000000001</v>
      </c>
      <c r="K109" s="93">
        <v>1.1000000000000001</v>
      </c>
      <c r="L109" s="93">
        <v>1.1000000000000001</v>
      </c>
      <c r="M109" s="93">
        <v>1.1000000000000001</v>
      </c>
      <c r="N109" s="93">
        <v>1.1000000000000001</v>
      </c>
    </row>
    <row r="110" spans="2:15" x14ac:dyDescent="0.2">
      <c r="B110" s="8">
        <v>40</v>
      </c>
      <c r="C110" s="8">
        <v>1.5</v>
      </c>
      <c r="D110" s="8">
        <v>1.4</v>
      </c>
      <c r="E110" s="8">
        <v>1.3</v>
      </c>
      <c r="F110" s="8">
        <v>1.3</v>
      </c>
      <c r="G110" s="8">
        <v>1.2</v>
      </c>
      <c r="H110" s="8">
        <v>1.2</v>
      </c>
      <c r="I110" s="8">
        <v>1.2</v>
      </c>
      <c r="J110" s="8">
        <v>1.2</v>
      </c>
      <c r="K110" s="8">
        <v>1.1000000000000001</v>
      </c>
      <c r="L110" s="8">
        <v>1.1000000000000001</v>
      </c>
      <c r="M110" s="8">
        <v>1.1000000000000001</v>
      </c>
      <c r="N110" s="8">
        <v>1.1000000000000001</v>
      </c>
    </row>
    <row r="111" spans="2:15" x14ac:dyDescent="0.2">
      <c r="B111" s="8">
        <v>45</v>
      </c>
      <c r="C111" s="36">
        <v>1.5</v>
      </c>
      <c r="D111" s="8">
        <v>1.5</v>
      </c>
      <c r="E111" s="8">
        <v>1.4</v>
      </c>
      <c r="F111" s="8">
        <v>1.3</v>
      </c>
      <c r="G111" s="8">
        <v>1.3</v>
      </c>
      <c r="H111" s="8">
        <v>1.2</v>
      </c>
      <c r="I111" s="8">
        <v>1.2</v>
      </c>
      <c r="J111" s="8">
        <v>1.2</v>
      </c>
      <c r="K111" s="8">
        <v>1.2</v>
      </c>
      <c r="L111" s="8">
        <v>1.2</v>
      </c>
      <c r="M111" s="8">
        <v>1.1000000000000001</v>
      </c>
      <c r="N111" s="8">
        <v>1.1000000000000001</v>
      </c>
    </row>
    <row r="112" spans="2:15" x14ac:dyDescent="0.2">
      <c r="B112" s="8">
        <v>50</v>
      </c>
      <c r="C112" s="36">
        <v>1.5</v>
      </c>
      <c r="D112" s="36">
        <v>1.5</v>
      </c>
      <c r="E112" s="8">
        <v>1.5</v>
      </c>
      <c r="F112" s="8">
        <v>1.4</v>
      </c>
      <c r="G112" s="8">
        <v>1.4</v>
      </c>
      <c r="H112" s="8">
        <v>1.3</v>
      </c>
      <c r="I112" s="8">
        <v>1.3</v>
      </c>
      <c r="J112" s="8">
        <v>1.3</v>
      </c>
      <c r="K112" s="8">
        <v>1.2</v>
      </c>
      <c r="L112" s="8">
        <v>1.2</v>
      </c>
      <c r="M112" s="8">
        <v>1.2</v>
      </c>
      <c r="N112" s="8">
        <v>1.1000000000000001</v>
      </c>
    </row>
    <row r="113" spans="2:14" x14ac:dyDescent="0.2">
      <c r="B113" s="8">
        <v>55</v>
      </c>
      <c r="C113" s="36">
        <v>1.5</v>
      </c>
      <c r="D113" s="36">
        <v>1.5</v>
      </c>
      <c r="E113" s="36">
        <v>1.5</v>
      </c>
      <c r="F113" s="8">
        <v>1.5</v>
      </c>
      <c r="G113" s="8">
        <v>1.5</v>
      </c>
      <c r="H113" s="8">
        <v>1.4</v>
      </c>
      <c r="I113" s="8">
        <v>1.3</v>
      </c>
      <c r="J113" s="8">
        <v>1.3</v>
      </c>
      <c r="K113" s="8">
        <v>1.3</v>
      </c>
      <c r="L113" s="8">
        <v>1.2</v>
      </c>
      <c r="M113" s="8">
        <v>1.2</v>
      </c>
      <c r="N113" s="8">
        <v>1.2</v>
      </c>
    </row>
    <row r="114" spans="2:14" x14ac:dyDescent="0.2">
      <c r="B114" s="8">
        <v>60</v>
      </c>
      <c r="C114" s="36">
        <v>1.5</v>
      </c>
      <c r="D114" s="36">
        <v>1.5</v>
      </c>
      <c r="E114" s="36">
        <v>1.5</v>
      </c>
      <c r="F114" s="8">
        <v>1.5</v>
      </c>
      <c r="G114" s="8">
        <v>1.5</v>
      </c>
      <c r="H114" s="8">
        <v>1.5</v>
      </c>
      <c r="I114" s="8">
        <v>1.4</v>
      </c>
      <c r="J114" s="8">
        <v>1.4</v>
      </c>
      <c r="K114" s="8">
        <v>1.3</v>
      </c>
      <c r="L114" s="8">
        <v>1.3</v>
      </c>
      <c r="M114" s="8">
        <v>1.2</v>
      </c>
      <c r="N114" s="8">
        <v>1.2</v>
      </c>
    </row>
    <row r="115" spans="2:14" x14ac:dyDescent="0.2">
      <c r="B115" s="8">
        <v>65</v>
      </c>
      <c r="C115" s="36">
        <v>1.5</v>
      </c>
      <c r="D115" s="36">
        <v>1.5</v>
      </c>
      <c r="E115" s="36">
        <v>1.5</v>
      </c>
      <c r="F115" s="36">
        <v>1.5</v>
      </c>
      <c r="G115" s="8">
        <v>1.5</v>
      </c>
      <c r="H115" s="8">
        <v>1.5</v>
      </c>
      <c r="I115" s="8">
        <v>1.4</v>
      </c>
      <c r="J115" s="8">
        <v>1.4</v>
      </c>
      <c r="K115" s="8">
        <v>1.3</v>
      </c>
      <c r="L115" s="8">
        <v>1.3</v>
      </c>
      <c r="M115" s="8">
        <v>1.2</v>
      </c>
      <c r="N115" s="8">
        <v>1.2</v>
      </c>
    </row>
    <row r="116" spans="2:14" x14ac:dyDescent="0.2">
      <c r="B116" s="8">
        <v>70</v>
      </c>
      <c r="C116" s="36">
        <v>1.5</v>
      </c>
      <c r="D116" s="36">
        <v>1.5</v>
      </c>
      <c r="E116" s="36">
        <v>1.5</v>
      </c>
      <c r="F116" s="36">
        <v>1.5</v>
      </c>
      <c r="G116" s="36">
        <v>1.5</v>
      </c>
      <c r="H116" s="36">
        <v>1.5</v>
      </c>
      <c r="I116" s="36">
        <v>1.5</v>
      </c>
      <c r="J116" s="8">
        <v>1.5</v>
      </c>
      <c r="K116" s="8">
        <v>1.4</v>
      </c>
      <c r="L116" s="8">
        <v>1.4</v>
      </c>
      <c r="M116" s="8">
        <v>1.3</v>
      </c>
      <c r="N116" s="8">
        <v>1.2</v>
      </c>
    </row>
  </sheetData>
  <mergeCells count="31">
    <mergeCell ref="C24:C25"/>
    <mergeCell ref="D24:E24"/>
    <mergeCell ref="B40:I40"/>
    <mergeCell ref="C41:C42"/>
    <mergeCell ref="B41:B42"/>
    <mergeCell ref="B24:B25"/>
    <mergeCell ref="D41:F41"/>
    <mergeCell ref="G41:I41"/>
    <mergeCell ref="B39:I39"/>
    <mergeCell ref="G2:K2"/>
    <mergeCell ref="H4:K4"/>
    <mergeCell ref="B23:E23"/>
    <mergeCell ref="B2:C2"/>
    <mergeCell ref="B3:C3"/>
    <mergeCell ref="H6:K6"/>
    <mergeCell ref="G4:G5"/>
    <mergeCell ref="G3:K3"/>
    <mergeCell ref="B22:E22"/>
    <mergeCell ref="C104:N104"/>
    <mergeCell ref="B103:N103"/>
    <mergeCell ref="B104:B105"/>
    <mergeCell ref="B102:N102"/>
    <mergeCell ref="B43:B49"/>
    <mergeCell ref="B50:B56"/>
    <mergeCell ref="B57:B63"/>
    <mergeCell ref="B64:B70"/>
    <mergeCell ref="B71:B77"/>
    <mergeCell ref="B78:B84"/>
    <mergeCell ref="B85:B91"/>
    <mergeCell ref="B92:B98"/>
    <mergeCell ref="B100:N100"/>
  </mergeCells>
  <phoneticPr fontId="0" type="noConversion"/>
  <pageMargins left="0.75" right="0.75" top="0.75" bottom="0" header="0.5" footer="0.5"/>
  <pageSetup scale="71" fitToHeight="4" orientation="landscape" r:id="rId1"/>
  <headerFooter alignWithMargins="0"/>
  <rowBreaks count="2" manualBreakCount="2">
    <brk id="38" max="13" man="1"/>
    <brk id="9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READ ME FIRST</vt:lpstr>
      <vt:lpstr>Definitions</vt:lpstr>
      <vt:lpstr>Guardrail Summary</vt:lpstr>
      <vt:lpstr>US Customary Calculations</vt:lpstr>
      <vt:lpstr>USCust RDG 2011</vt:lpstr>
      <vt:lpstr>ADT</vt:lpstr>
      <vt:lpstr>Definitions</vt:lpstr>
      <vt:lpstr>EClear20</vt:lpstr>
      <vt:lpstr>EClear30</vt:lpstr>
      <vt:lpstr>EClear35</vt:lpstr>
      <vt:lpstr>EClear40</vt:lpstr>
      <vt:lpstr>EClear50</vt:lpstr>
      <vt:lpstr>EClear55</vt:lpstr>
      <vt:lpstr>EClear60</vt:lpstr>
      <vt:lpstr>EClear70</vt:lpstr>
      <vt:lpstr>ECurve</vt:lpstr>
      <vt:lpstr>ECurveCorrection</vt:lpstr>
      <vt:lpstr>ECurves</vt:lpstr>
      <vt:lpstr>EFlare</vt:lpstr>
      <vt:lpstr>ERunout</vt:lpstr>
      <vt:lpstr>EShy</vt:lpstr>
      <vt:lpstr>EShyLine</vt:lpstr>
      <vt:lpstr>ESpeed</vt:lpstr>
      <vt:lpstr>ETerminals</vt:lpstr>
      <vt:lpstr>ETransitions</vt:lpstr>
      <vt:lpstr>FillSlope</vt:lpstr>
      <vt:lpstr>Hints</vt:lpstr>
      <vt:lpstr>Option</vt:lpstr>
      <vt:lpstr>Definitions!Print_Area</vt:lpstr>
      <vt:lpstr>'US Customary Calculations'!Print_Area</vt:lpstr>
      <vt:lpstr>'USCust RDG 2011'!Print_Area</vt:lpstr>
    </vt:vector>
  </TitlesOfParts>
  <Company>Federal Highway Administration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Victoria Kinne</dc:creator>
  <cp:lastModifiedBy>Post, Christopher L (DOT)</cp:lastModifiedBy>
  <cp:lastPrinted>2019-10-15T22:02:22Z</cp:lastPrinted>
  <dcterms:created xsi:type="dcterms:W3CDTF">2002-01-04T18:20:48Z</dcterms:created>
  <dcterms:modified xsi:type="dcterms:W3CDTF">2025-02-03T23:45:52Z</dcterms:modified>
</cp:coreProperties>
</file>