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 activeTab="4"/>
  </bookViews>
  <sheets>
    <sheet name="Estimate Breakdown" sheetId="1" r:id="rId1"/>
    <sheet name="Budget Info Snow West" sheetId="2" r:id="rId2"/>
    <sheet name="Budget Info Snow Center" sheetId="3" r:id="rId3"/>
    <sheet name="Budget Info Victor Creek" sheetId="4" r:id="rId4"/>
    <sheet name="Budget Info Combined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F12" i="5"/>
  <c r="F4" i="5" l="1"/>
  <c r="C25" i="5" l="1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G15" i="5" s="1"/>
  <c r="G17" i="5" s="1"/>
  <c r="D22" i="5" s="1"/>
  <c r="H12" i="5"/>
  <c r="H15" i="5" s="1"/>
  <c r="H17" i="5" s="1"/>
  <c r="D23" i="5" s="1"/>
  <c r="I12" i="5"/>
  <c r="I15" i="5" s="1"/>
  <c r="I17" i="5" s="1"/>
  <c r="G13" i="5"/>
  <c r="H13" i="5"/>
  <c r="I13" i="5"/>
  <c r="G14" i="5"/>
  <c r="H14" i="5"/>
  <c r="I14" i="5"/>
  <c r="G16" i="5"/>
  <c r="H16" i="5"/>
  <c r="I16" i="5"/>
  <c r="I4" i="5"/>
  <c r="G4" i="5"/>
  <c r="H4" i="5"/>
  <c r="N75" i="1"/>
  <c r="D25" i="5" l="1"/>
  <c r="D16" i="4"/>
  <c r="D14" i="4"/>
  <c r="D13" i="4"/>
  <c r="D12" i="4"/>
  <c r="D11" i="4"/>
  <c r="D10" i="4"/>
  <c r="D19" i="4" s="1"/>
  <c r="E9" i="4"/>
  <c r="E8" i="4"/>
  <c r="E7" i="4"/>
  <c r="E6" i="4"/>
  <c r="E5" i="4"/>
  <c r="E4" i="4"/>
  <c r="E19" i="4" s="1"/>
  <c r="K75" i="1"/>
  <c r="I75" i="1"/>
  <c r="D19" i="3"/>
  <c r="D16" i="3"/>
  <c r="D14" i="3"/>
  <c r="D13" i="3"/>
  <c r="D12" i="3"/>
  <c r="D11" i="3"/>
  <c r="D10" i="3"/>
  <c r="E9" i="3"/>
  <c r="E8" i="3"/>
  <c r="E7" i="3"/>
  <c r="E6" i="3"/>
  <c r="E5" i="3"/>
  <c r="E4" i="3"/>
  <c r="E19" i="3" s="1"/>
  <c r="E8" i="2"/>
  <c r="D19" i="2"/>
  <c r="D16" i="2"/>
  <c r="D13" i="2"/>
  <c r="D14" i="2"/>
  <c r="D12" i="2"/>
  <c r="D11" i="2"/>
  <c r="D10" i="2"/>
  <c r="E5" i="2"/>
  <c r="E6" i="2"/>
  <c r="E7" i="2"/>
  <c r="E4" i="2"/>
  <c r="G75" i="1"/>
  <c r="N4" i="1"/>
  <c r="F18" i="5"/>
  <c r="E18" i="5"/>
  <c r="E5" i="5"/>
  <c r="F5" i="5" s="1"/>
  <c r="E6" i="5"/>
  <c r="F6" i="5" s="1"/>
  <c r="E7" i="5"/>
  <c r="F7" i="5" s="1"/>
  <c r="E4" i="5"/>
  <c r="C17" i="4" l="1"/>
  <c r="C17" i="3"/>
  <c r="N73" i="1" l="1"/>
  <c r="N72" i="1"/>
  <c r="M71" i="1"/>
  <c r="N71" i="1" s="1"/>
  <c r="N70" i="1"/>
  <c r="N69" i="1"/>
  <c r="N68" i="1"/>
  <c r="N66" i="1"/>
  <c r="N62" i="1"/>
  <c r="N63" i="1"/>
  <c r="N64" i="1"/>
  <c r="N65" i="1"/>
  <c r="N61" i="1"/>
  <c r="N60" i="1"/>
  <c r="N59" i="1"/>
  <c r="N58" i="1"/>
  <c r="N56" i="1"/>
  <c r="C8" i="5" s="1"/>
  <c r="N55" i="1"/>
  <c r="N54" i="1"/>
  <c r="N53" i="1"/>
  <c r="N52" i="1"/>
  <c r="N51" i="1"/>
  <c r="N6" i="1"/>
  <c r="N9" i="1"/>
  <c r="N16" i="1"/>
  <c r="N28" i="1"/>
  <c r="N31" i="1"/>
  <c r="N34" i="1"/>
  <c r="N36" i="1"/>
  <c r="M7" i="1" l="1"/>
  <c r="N7" i="1" s="1"/>
  <c r="M8" i="1"/>
  <c r="N8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9" i="1"/>
  <c r="N29" i="1" s="1"/>
  <c r="M30" i="1"/>
  <c r="N30" i="1" s="1"/>
  <c r="M32" i="1"/>
  <c r="N32" i="1" s="1"/>
  <c r="M33" i="1"/>
  <c r="N33" i="1" s="1"/>
  <c r="M35" i="1"/>
  <c r="N35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7" i="1"/>
  <c r="N57" i="1" s="1"/>
  <c r="M67" i="1"/>
  <c r="N67" i="1" s="1"/>
  <c r="M5" i="1"/>
  <c r="N5" i="1" s="1"/>
  <c r="M4" i="1"/>
  <c r="C16" i="3"/>
  <c r="C16" i="2"/>
  <c r="E16" i="5" s="1"/>
  <c r="K73" i="1"/>
  <c r="C16" i="4" s="1"/>
  <c r="I73" i="1"/>
  <c r="G73" i="1"/>
  <c r="C16" i="5" l="1"/>
  <c r="F16" i="5" s="1"/>
  <c r="G36" i="1"/>
  <c r="I9" i="1"/>
  <c r="G9" i="1"/>
  <c r="G10" i="1"/>
  <c r="I5" i="1"/>
  <c r="I6" i="1"/>
  <c r="I7" i="1"/>
  <c r="I8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7" i="1"/>
  <c r="C8" i="3" s="1"/>
  <c r="I62" i="1"/>
  <c r="I63" i="1"/>
  <c r="I64" i="1"/>
  <c r="I65" i="1"/>
  <c r="I67" i="1"/>
  <c r="I68" i="1"/>
  <c r="I70" i="1"/>
  <c r="I71" i="1"/>
  <c r="I72" i="1"/>
  <c r="I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C13" i="4"/>
  <c r="K57" i="1"/>
  <c r="C8" i="4" s="1"/>
  <c r="K62" i="1"/>
  <c r="K63" i="1"/>
  <c r="K64" i="1"/>
  <c r="K65" i="1"/>
  <c r="K67" i="1"/>
  <c r="C14" i="4" s="1"/>
  <c r="K68" i="1"/>
  <c r="K70" i="1"/>
  <c r="K71" i="1"/>
  <c r="K72" i="1"/>
  <c r="K4" i="1"/>
  <c r="G6" i="1"/>
  <c r="G5" i="1"/>
  <c r="G7" i="1"/>
  <c r="G8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7" i="1"/>
  <c r="G62" i="1"/>
  <c r="G63" i="1"/>
  <c r="G64" i="1"/>
  <c r="G65" i="1"/>
  <c r="G67" i="1"/>
  <c r="G68" i="1"/>
  <c r="G70" i="1"/>
  <c r="G71" i="1"/>
  <c r="G72" i="1"/>
  <c r="G4" i="1"/>
  <c r="C14" i="3" l="1"/>
  <c r="K16" i="1"/>
  <c r="C11" i="4"/>
  <c r="C8" i="2"/>
  <c r="E8" i="5" s="1"/>
  <c r="F8" i="5" s="1"/>
  <c r="I16" i="1"/>
  <c r="P54" i="1" s="1"/>
  <c r="Q52" i="1"/>
  <c r="G16" i="1"/>
  <c r="C10" i="4"/>
  <c r="C10" i="3"/>
  <c r="C13" i="3"/>
  <c r="C11" i="3"/>
  <c r="Q53" i="1"/>
  <c r="Q55" i="1"/>
  <c r="Q56" i="1"/>
  <c r="C11" i="2"/>
  <c r="E11" i="5" s="1"/>
  <c r="C10" i="2"/>
  <c r="E10" i="5" s="1"/>
  <c r="P60" i="1"/>
  <c r="P66" i="1"/>
  <c r="P55" i="1"/>
  <c r="P56" i="1"/>
  <c r="P51" i="1"/>
  <c r="C12" i="3"/>
  <c r="C14" i="5"/>
  <c r="C14" i="2"/>
  <c r="E14" i="5" s="1"/>
  <c r="C13" i="2"/>
  <c r="E13" i="5" s="1"/>
  <c r="F14" i="5" l="1"/>
  <c r="C9" i="3"/>
  <c r="C15" i="3" s="1"/>
  <c r="C19" i="3" s="1"/>
  <c r="C23" i="5" s="1"/>
  <c r="P58" i="1"/>
  <c r="C11" i="5"/>
  <c r="F11" i="5" s="1"/>
  <c r="P61" i="1"/>
  <c r="P53" i="1"/>
  <c r="C12" i="4"/>
  <c r="Q58" i="1"/>
  <c r="P59" i="1"/>
  <c r="P52" i="1"/>
  <c r="Q51" i="1"/>
  <c r="Q66" i="1"/>
  <c r="Q54" i="1"/>
  <c r="Q60" i="1"/>
  <c r="Q59" i="1"/>
  <c r="Q61" i="1"/>
  <c r="C13" i="5"/>
  <c r="F13" i="5" s="1"/>
  <c r="C10" i="5"/>
  <c r="F10" i="5" s="1"/>
  <c r="C9" i="4" l="1"/>
  <c r="C15" i="4" s="1"/>
  <c r="C19" i="4" s="1"/>
  <c r="C24" i="5" s="1"/>
  <c r="O53" i="1"/>
  <c r="O66" i="1"/>
  <c r="O55" i="1"/>
  <c r="O60" i="1"/>
  <c r="O61" i="1"/>
  <c r="O58" i="1"/>
  <c r="O54" i="1"/>
  <c r="C12" i="5"/>
  <c r="O59" i="1"/>
  <c r="O51" i="1"/>
  <c r="O56" i="1"/>
  <c r="C12" i="2"/>
  <c r="E12" i="5" s="1"/>
  <c r="O52" i="1"/>
  <c r="C9" i="5" l="1"/>
  <c r="C9" i="2"/>
  <c r="C15" i="2" l="1"/>
  <c r="E9" i="2"/>
  <c r="E19" i="2" s="1"/>
  <c r="E9" i="5"/>
  <c r="F9" i="5"/>
  <c r="C15" i="5"/>
  <c r="E15" i="5" l="1"/>
  <c r="C17" i="2"/>
  <c r="E17" i="5" s="1"/>
  <c r="F15" i="5"/>
  <c r="C17" i="5"/>
  <c r="C19" i="2" l="1"/>
  <c r="F17" i="5"/>
  <c r="C19" i="5"/>
  <c r="C22" i="5" l="1"/>
  <c r="C28" i="5" s="1"/>
  <c r="E19" i="5"/>
  <c r="F19" i="5" s="1"/>
  <c r="C29" i="5"/>
  <c r="C30" i="5" s="1"/>
</calcChain>
</file>

<file path=xl/sharedStrings.xml><?xml version="1.0" encoding="utf-8"?>
<sst xmlns="http://schemas.openxmlformats.org/spreadsheetml/2006/main" count="429" uniqueCount="206">
  <si>
    <t>Item No.</t>
  </si>
  <si>
    <t>Pay Item</t>
  </si>
  <si>
    <t>Pay Unit</t>
  </si>
  <si>
    <t>Unit Price</t>
  </si>
  <si>
    <t>Quantity</t>
  </si>
  <si>
    <t>Amount</t>
  </si>
  <si>
    <t>==========   BASIC BID   ==========</t>
  </si>
  <si>
    <t>201.0003.0000</t>
  </si>
  <si>
    <t>Clearing and Grubbing</t>
  </si>
  <si>
    <t>ACRE</t>
  </si>
  <si>
    <t>LS</t>
  </si>
  <si>
    <t>All Req'd</t>
  </si>
  <si>
    <t>202.0002.0000</t>
  </si>
  <si>
    <t>Removal of Pavement</t>
  </si>
  <si>
    <t>SY</t>
  </si>
  <si>
    <t>LF</t>
  </si>
  <si>
    <t>EA</t>
  </si>
  <si>
    <t>202.0023.0000</t>
  </si>
  <si>
    <t>Removal of Exisiting Bridge No. 607</t>
  </si>
  <si>
    <t>203.0003.0000</t>
  </si>
  <si>
    <t>Unclassifed Excavation</t>
  </si>
  <si>
    <t>CY</t>
  </si>
  <si>
    <t>203.0006.0000</t>
  </si>
  <si>
    <t>Borrow</t>
  </si>
  <si>
    <t>TON</t>
  </si>
  <si>
    <t>203.2020.0000</t>
  </si>
  <si>
    <t>Debris Removal/Excavation</t>
  </si>
  <si>
    <t>205.0006.0000</t>
  </si>
  <si>
    <t>Structural Fill</t>
  </si>
  <si>
    <t>301.0001.00D1</t>
  </si>
  <si>
    <t>Aggregate Base Course, Grading D-1</t>
  </si>
  <si>
    <t>306.0001.0000</t>
  </si>
  <si>
    <t>ATB</t>
  </si>
  <si>
    <t>306.0002.5228</t>
  </si>
  <si>
    <t xml:space="preserve">Asphalt Binder, Grade 52-28 </t>
  </si>
  <si>
    <t>CS</t>
  </si>
  <si>
    <t>401.0001.002A</t>
  </si>
  <si>
    <t>HMA, Type II; Class A</t>
  </si>
  <si>
    <t>401.0004.5228</t>
  </si>
  <si>
    <t>401.0008.002A</t>
  </si>
  <si>
    <t>HMA Price Adjustment, Type II, Class A</t>
  </si>
  <si>
    <t>401.0014.0000</t>
  </si>
  <si>
    <t>Joint Adhesive</t>
  </si>
  <si>
    <t>402.0001.STE1</t>
  </si>
  <si>
    <t>STE-1 Asphalt for Tack Coat</t>
  </si>
  <si>
    <t>501.0001.0000</t>
  </si>
  <si>
    <t>Class A Concrete</t>
  </si>
  <si>
    <t>501.0007.0000</t>
  </si>
  <si>
    <t>Precast Concrete Member (110'-0" Bulb-Tee Girder)</t>
  </si>
  <si>
    <t>503.0001.0000</t>
  </si>
  <si>
    <t>Reinforcing Steel</t>
  </si>
  <si>
    <t>503.0002.0000</t>
  </si>
  <si>
    <t>Epoxy-Coated Reinforcing Steel</t>
  </si>
  <si>
    <t>503.0003.0000</t>
  </si>
  <si>
    <t>Drill and Bond Dowls</t>
  </si>
  <si>
    <t>505.0005.0000</t>
  </si>
  <si>
    <t>Furnish Structural Steel Piles (2'-0" Pipe)</t>
  </si>
  <si>
    <t>Furnish Structural Steel Piles (4'-0" Pipe)</t>
  </si>
  <si>
    <t>505.0006.0000</t>
  </si>
  <si>
    <t>Drive Structual Steel Piles (2'-0" Pipe)</t>
  </si>
  <si>
    <t>Drive Structual Steel Piles (4'-0" Pipe)</t>
  </si>
  <si>
    <t>505.0014.0000</t>
  </si>
  <si>
    <t xml:space="preserve">Special Pile Excavation </t>
  </si>
  <si>
    <t>507.0001.0000</t>
  </si>
  <si>
    <t>Steel Bridge Railing</t>
  </si>
  <si>
    <t>507.2000.0000</t>
  </si>
  <si>
    <t>Steel Bridge Railing Replacement</t>
  </si>
  <si>
    <t>508.2000.0000</t>
  </si>
  <si>
    <t>Waterproofing Membrane, Spray-On</t>
  </si>
  <si>
    <t>510.2000.0000</t>
  </si>
  <si>
    <t>Bridge Deck Repair</t>
  </si>
  <si>
    <t>SF</t>
  </si>
  <si>
    <t>510.2001.0000</t>
  </si>
  <si>
    <t>Bridge Deck Repair, Reinforcing Steel</t>
  </si>
  <si>
    <t>513.0001.0000</t>
  </si>
  <si>
    <t>Field Painting of Steel Structures</t>
  </si>
  <si>
    <t>516.0001.0000</t>
  </si>
  <si>
    <t>Expansion Joint (Compression Seal)</t>
  </si>
  <si>
    <t>520.0001.0000</t>
  </si>
  <si>
    <t>Temporary Crossings</t>
  </si>
  <si>
    <t>525.2001.0000</t>
  </si>
  <si>
    <t>Polyester Concrete Overlay</t>
  </si>
  <si>
    <t>CF</t>
  </si>
  <si>
    <t>606.0001.0000</t>
  </si>
  <si>
    <t>W-Beam Guardrail</t>
  </si>
  <si>
    <t>606.0006.0000</t>
  </si>
  <si>
    <t>Removing and Disposing of Guardrail</t>
  </si>
  <si>
    <t>606.0009.0000</t>
  </si>
  <si>
    <t>Short Radius Guardrail</t>
  </si>
  <si>
    <t>606.0013.0000</t>
  </si>
  <si>
    <t>Parallel Guardrail Terminal</t>
  </si>
  <si>
    <t>606.0016.0000</t>
  </si>
  <si>
    <t>Transition Rail</t>
  </si>
  <si>
    <t>610.0002.0000</t>
  </si>
  <si>
    <t>Ditch Lining</t>
  </si>
  <si>
    <t>611.0002.0001</t>
  </si>
  <si>
    <t>RipRap, Class I</t>
  </si>
  <si>
    <t>611.0002.0003</t>
  </si>
  <si>
    <t>RipRap, Class III</t>
  </si>
  <si>
    <t>615.0001.0000</t>
  </si>
  <si>
    <t>Standard Sign</t>
  </si>
  <si>
    <t>615.0006.0000</t>
  </si>
  <si>
    <t>Salvage Sign</t>
  </si>
  <si>
    <t>618.0002.0000</t>
  </si>
  <si>
    <t>Seeding</t>
  </si>
  <si>
    <t>LB</t>
  </si>
  <si>
    <t>618.0003.0000</t>
  </si>
  <si>
    <t>Water for Seeding</t>
  </si>
  <si>
    <t>M-GAL</t>
  </si>
  <si>
    <t>620.0001.0000</t>
  </si>
  <si>
    <t>Topsoil</t>
  </si>
  <si>
    <t>640.0001.0000</t>
  </si>
  <si>
    <t>Mobilization and Demobilization</t>
  </si>
  <si>
    <t>640.0004.0000</t>
  </si>
  <si>
    <t>Worker Meals and Lodging, or Per Diem</t>
  </si>
  <si>
    <t>641.0001.0000</t>
  </si>
  <si>
    <t>Erosion, Sediment, and Pollution Control Administration</t>
  </si>
  <si>
    <t>641.0002.0000</t>
  </si>
  <si>
    <t>Temporary Erosion, Sediment, and Pollution Control</t>
  </si>
  <si>
    <t>641.0007.0000</t>
  </si>
  <si>
    <t>SWPPP Manager</t>
  </si>
  <si>
    <t>642.0001.0000</t>
  </si>
  <si>
    <t>Construction Surveying</t>
  </si>
  <si>
    <t>642.0003.0000</t>
  </si>
  <si>
    <t>Three Person Survey Party</t>
  </si>
  <si>
    <t>HR</t>
  </si>
  <si>
    <t>643.0002.0000</t>
  </si>
  <si>
    <t>Traffic Maintenance</t>
  </si>
  <si>
    <t>643.0003.0000</t>
  </si>
  <si>
    <t>Permanent Construction Signs</t>
  </si>
  <si>
    <t>643.0025.0000</t>
  </si>
  <si>
    <t>Traffic Control</t>
  </si>
  <si>
    <t>643.0032.0000</t>
  </si>
  <si>
    <t>Flagging</t>
  </si>
  <si>
    <t>644.0001.0000</t>
  </si>
  <si>
    <t>Field Office</t>
  </si>
  <si>
    <t>644.0002.0000</t>
  </si>
  <si>
    <t>Field Laboratory</t>
  </si>
  <si>
    <t>644.0015.0000</t>
  </si>
  <si>
    <t>Nuclear Testing Equipment Storage Shed</t>
  </si>
  <si>
    <t>644.0016.0000</t>
  </si>
  <si>
    <t>Storage Container</t>
  </si>
  <si>
    <t>644.2004.0000</t>
  </si>
  <si>
    <t>Engineering Communications</t>
  </si>
  <si>
    <t>645.0001.0000</t>
  </si>
  <si>
    <t>Training Program, 1 Trainee/Apprentice</t>
  </si>
  <si>
    <t>646.0001.0000</t>
  </si>
  <si>
    <t>CPM Scheduling</t>
  </si>
  <si>
    <t>647.2002.0000</t>
  </si>
  <si>
    <t>Backhoe, 4WD, 1CY Bucket, 75 HP Min., 15 Ft Depth</t>
  </si>
  <si>
    <t>648.2002.0000</t>
  </si>
  <si>
    <t>Eagle Monitoring</t>
  </si>
  <si>
    <t>670.2000.0000</t>
  </si>
  <si>
    <t>MMA Pavement Markings</t>
  </si>
  <si>
    <t>682.2000.0000</t>
  </si>
  <si>
    <t>Vac-Truck Pothole</t>
  </si>
  <si>
    <t xml:space="preserve">Category </t>
  </si>
  <si>
    <t>Cost Classification</t>
  </si>
  <si>
    <t>Total Cost ($)</t>
  </si>
  <si>
    <t>1. Administrative and legal expenses</t>
  </si>
  <si>
    <t>3. Relocation expenses and payments</t>
  </si>
  <si>
    <t>4. Architectural and engineering fees</t>
  </si>
  <si>
    <t>5. Other architectural and engineering fees</t>
  </si>
  <si>
    <t>6. Project inspection fees</t>
  </si>
  <si>
    <t>7. Site work</t>
  </si>
  <si>
    <t>8. Demolition and removal</t>
  </si>
  <si>
    <t>9. Construction</t>
  </si>
  <si>
    <t>10. Equipment</t>
  </si>
  <si>
    <t>11. Miscellaneous</t>
  </si>
  <si>
    <t>12. SUBTOTAL (sum of lines 1-11)</t>
  </si>
  <si>
    <t>13. Contingencies</t>
  </si>
  <si>
    <t>14. SUBTOTAL</t>
  </si>
  <si>
    <t>15. Project (program) income</t>
  </si>
  <si>
    <t>16. TOTAL PROJECT COSTS (subtract #15 from #14)</t>
  </si>
  <si>
    <t>N/A</t>
  </si>
  <si>
    <t>Contingencies</t>
  </si>
  <si>
    <t>Snow River West Bridge</t>
  </si>
  <si>
    <t>Victor Creek Bridge</t>
  </si>
  <si>
    <t>Project</t>
  </si>
  <si>
    <t>All Bridges As Separate Projects</t>
  </si>
  <si>
    <t>All Bridges As Combined Project</t>
  </si>
  <si>
    <t>Total Savings</t>
  </si>
  <si>
    <t>Target Cost By %</t>
  </si>
  <si>
    <t>Cost By %</t>
  </si>
  <si>
    <t>GAL</t>
  </si>
  <si>
    <t xml:space="preserve"> Comb Unit Price</t>
  </si>
  <si>
    <t>Snow River West Channel (No. 0603)</t>
  </si>
  <si>
    <t>Snow River Center Channel (No. 0605)</t>
  </si>
  <si>
    <t>All Bridges (No.'s 0603, 0605, &amp; 0607)</t>
  </si>
  <si>
    <t>Victor Creek (No. 0607)</t>
  </si>
  <si>
    <t>As Individual Bridges</t>
  </si>
  <si>
    <t>Total</t>
  </si>
  <si>
    <t>In Estimate Breakdown</t>
  </si>
  <si>
    <t>Not in Estimate Breakdown</t>
  </si>
  <si>
    <t>Cost if Bundled</t>
  </si>
  <si>
    <t>Savings due to Bundling</t>
  </si>
  <si>
    <t>Savings apportioned to Bridge 603</t>
  </si>
  <si>
    <t>Savings apportioned to Bridge 605</t>
  </si>
  <si>
    <t>Savings apportioned to Bridge 607</t>
  </si>
  <si>
    <t>Snow River Center Bridge</t>
  </si>
  <si>
    <t>All Bridges (No.'s 603, 605, &amp; 607)</t>
  </si>
  <si>
    <t>2. Land, structures, rights-of-way, appraisals, etc.</t>
  </si>
  <si>
    <t>All Bridges (Snow West, Snow Center, Victor Creek)</t>
  </si>
  <si>
    <t>Victor Creek Bridge (No. 607) Replacement</t>
  </si>
  <si>
    <t>Snow River Center Channel Bridge (No. 605) Rehabilitation</t>
  </si>
  <si>
    <t>Snow River West Channel Bridge (No. 603)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</si>
</sst>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44" fontId="0" fillId="0" borderId="19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5" borderId="9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/>
    <xf numFmtId="4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Border="1"/>
    <xf numFmtId="10" fontId="0" fillId="0" borderId="0" xfId="2" applyNumberFormat="1" applyFont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6" xfId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0" fontId="0" fillId="3" borderId="0" xfId="2" applyNumberFormat="1" applyFont="1" applyFill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44" fontId="0" fillId="0" borderId="26" xfId="1" applyFont="1" applyFill="1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4" fontId="0" fillId="0" borderId="27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0" fillId="3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19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5" borderId="9" xfId="1" applyNumberFormat="1" applyFont="1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 vertical="center"/>
    </xf>
    <xf numFmtId="165" fontId="0" fillId="3" borderId="9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0" borderId="30" xfId="0" applyNumberFormat="1" applyBorder="1"/>
    <xf numFmtId="165" fontId="0" fillId="0" borderId="31" xfId="0" applyNumberFormat="1" applyBorder="1"/>
    <xf numFmtId="165" fontId="0" fillId="0" borderId="29" xfId="0" applyNumberFormat="1" applyBorder="1" applyAlignment="1">
      <alignment horizontal="center" vertical="center"/>
    </xf>
    <xf numFmtId="165" fontId="0" fillId="0" borderId="32" xfId="1" applyNumberFormat="1" applyFont="1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165" fontId="0" fillId="0" borderId="33" xfId="1" applyNumberFormat="1" applyFont="1" applyBorder="1" applyAlignment="1">
      <alignment horizontal="center" vertical="center"/>
    </xf>
    <xf numFmtId="165" fontId="0" fillId="0" borderId="34" xfId="0" applyNumberFormat="1" applyBorder="1"/>
    <xf numFmtId="165" fontId="0" fillId="0" borderId="35" xfId="0" applyNumberFormat="1" applyBorder="1"/>
    <xf numFmtId="165" fontId="0" fillId="0" borderId="36" xfId="0" applyNumberFormat="1" applyBorder="1"/>
    <xf numFmtId="0" fontId="0" fillId="2" borderId="1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A16" zoomScale="85" zoomScaleNormal="85" workbookViewId="0">
      <selection activeCell="F58" sqref="F58"/>
    </sheetView>
  </sheetViews>
  <sheetFormatPr defaultRowHeight="15" x14ac:dyDescent="0.25"/>
  <cols>
    <col min="1" max="1" width="10.7109375" customWidth="1"/>
    <col min="2" max="2" width="15.7109375" customWidth="1"/>
    <col min="3" max="3" width="57.42578125" bestFit="1" customWidth="1"/>
    <col min="4" max="4" width="10.7109375" customWidth="1"/>
    <col min="5" max="5" width="17.5703125" customWidth="1"/>
    <col min="6" max="6" width="15.7109375" customWidth="1"/>
    <col min="7" max="7" width="19" bestFit="1" customWidth="1"/>
    <col min="8" max="9" width="18.7109375" customWidth="1"/>
    <col min="10" max="14" width="15.7109375" customWidth="1"/>
    <col min="15" max="16" width="12.5703125" bestFit="1" customWidth="1"/>
    <col min="17" max="17" width="9.42578125" bestFit="1" customWidth="1"/>
    <col min="18" max="18" width="15.5703125" bestFit="1" customWidth="1"/>
  </cols>
  <sheetData>
    <row r="1" spans="1:14" ht="15.75" thickBot="1" x14ac:dyDescent="0.3">
      <c r="A1" s="1"/>
      <c r="B1" s="1"/>
      <c r="C1" s="1"/>
      <c r="D1" s="1"/>
      <c r="E1" s="1"/>
      <c r="F1" s="73" t="s">
        <v>186</v>
      </c>
      <c r="G1" s="75"/>
      <c r="H1" s="73" t="s">
        <v>187</v>
      </c>
      <c r="I1" s="74"/>
      <c r="J1" s="73" t="s">
        <v>189</v>
      </c>
      <c r="K1" s="74"/>
      <c r="L1" s="79" t="s">
        <v>188</v>
      </c>
      <c r="M1" s="80"/>
      <c r="N1" s="81"/>
    </row>
    <row r="2" spans="1:14" ht="15.75" thickBot="1" x14ac:dyDescent="0.3">
      <c r="A2" s="16" t="s">
        <v>156</v>
      </c>
      <c r="B2" s="17" t="s">
        <v>0</v>
      </c>
      <c r="C2" s="17" t="s">
        <v>1</v>
      </c>
      <c r="D2" s="17" t="s">
        <v>2</v>
      </c>
      <c r="E2" s="59" t="s">
        <v>3</v>
      </c>
      <c r="F2" s="4" t="s">
        <v>4</v>
      </c>
      <c r="G2" s="5" t="s">
        <v>5</v>
      </c>
      <c r="H2" s="4" t="s">
        <v>4</v>
      </c>
      <c r="I2" s="5" t="s">
        <v>5</v>
      </c>
      <c r="J2" s="4" t="s">
        <v>4</v>
      </c>
      <c r="K2" s="5" t="s">
        <v>5</v>
      </c>
      <c r="L2" s="4" t="s">
        <v>185</v>
      </c>
      <c r="M2" s="50" t="s">
        <v>4</v>
      </c>
      <c r="N2" s="18" t="s">
        <v>5</v>
      </c>
    </row>
    <row r="3" spans="1:14" ht="15.75" thickBot="1" x14ac:dyDescent="0.3">
      <c r="A3" s="76" t="s">
        <v>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x14ac:dyDescent="0.25">
      <c r="A4" s="6">
        <v>7</v>
      </c>
      <c r="B4" s="25" t="s">
        <v>7</v>
      </c>
      <c r="C4" s="3" t="s">
        <v>8</v>
      </c>
      <c r="D4" s="28" t="s">
        <v>9</v>
      </c>
      <c r="E4" s="51">
        <v>8200</v>
      </c>
      <c r="F4" s="21">
        <v>0.5</v>
      </c>
      <c r="G4" s="30">
        <f>IF(F4="All Req'd",E4,F4*E4)</f>
        <v>4100</v>
      </c>
      <c r="H4" s="21">
        <v>0</v>
      </c>
      <c r="I4" s="30">
        <f>IF(H4="All Req'd",E4,H4*E4)</f>
        <v>0</v>
      </c>
      <c r="J4" s="6">
        <v>0</v>
      </c>
      <c r="K4" s="30">
        <f>IF(J4="All Req'd",E4,J4*E4)</f>
        <v>0</v>
      </c>
      <c r="L4" s="44">
        <v>8200</v>
      </c>
      <c r="M4" s="29">
        <f>SUM(F4,H4,J4)</f>
        <v>0.5</v>
      </c>
      <c r="N4" s="45">
        <f>IF(M4="All Req'd",L4,M4*L4)</f>
        <v>4100</v>
      </c>
    </row>
    <row r="5" spans="1:14" x14ac:dyDescent="0.25">
      <c r="A5" s="7">
        <v>8</v>
      </c>
      <c r="B5" s="26" t="s">
        <v>12</v>
      </c>
      <c r="C5" s="2" t="s">
        <v>13</v>
      </c>
      <c r="D5" s="31" t="s">
        <v>14</v>
      </c>
      <c r="E5" s="52">
        <v>3</v>
      </c>
      <c r="F5" s="42">
        <v>415</v>
      </c>
      <c r="G5" s="41">
        <f t="shared" ref="G5:G68" si="0">IF(F5="All Req'd",E5,F5*E5)</f>
        <v>1245</v>
      </c>
      <c r="H5" s="42">
        <v>415</v>
      </c>
      <c r="I5" s="13">
        <f t="shared" ref="I5:I68" si="1">IF(H5="All Req'd",E5,H5*E5)</f>
        <v>1245</v>
      </c>
      <c r="J5" s="7">
        <v>5400</v>
      </c>
      <c r="K5" s="13">
        <f t="shared" ref="K5:K68" si="2">IF(J5="All Req'd",E5,J5*E5)</f>
        <v>16200</v>
      </c>
      <c r="L5" s="60">
        <v>2.5</v>
      </c>
      <c r="M5" s="32">
        <f>SUM(F5,H5,J5)</f>
        <v>6230</v>
      </c>
      <c r="N5" s="23">
        <f>IF(M5="All Req'd",L5,M5*L5)</f>
        <v>15575</v>
      </c>
    </row>
    <row r="6" spans="1:14" x14ac:dyDescent="0.25">
      <c r="A6" s="7">
        <v>8</v>
      </c>
      <c r="B6" s="26" t="s">
        <v>17</v>
      </c>
      <c r="C6" s="2" t="s">
        <v>18</v>
      </c>
      <c r="D6" s="31" t="s">
        <v>10</v>
      </c>
      <c r="E6" s="52">
        <v>182980</v>
      </c>
      <c r="F6" s="22">
        <v>0</v>
      </c>
      <c r="G6" s="13">
        <f>IF(F6="All Req'd",E6,F6*E6)</f>
        <v>0</v>
      </c>
      <c r="H6" s="22">
        <v>0</v>
      </c>
      <c r="I6" s="13">
        <f t="shared" si="1"/>
        <v>0</v>
      </c>
      <c r="J6" s="7" t="s">
        <v>11</v>
      </c>
      <c r="K6" s="13">
        <f t="shared" si="2"/>
        <v>182980</v>
      </c>
      <c r="L6" s="46">
        <v>182980</v>
      </c>
      <c r="M6" s="32" t="s">
        <v>11</v>
      </c>
      <c r="N6" s="23">
        <f t="shared" ref="N6:N56" si="3">IF(M6="All Req'd",L6,M6*L6)</f>
        <v>182980</v>
      </c>
    </row>
    <row r="7" spans="1:14" x14ac:dyDescent="0.25">
      <c r="A7" s="7">
        <v>7</v>
      </c>
      <c r="B7" s="26" t="s">
        <v>19</v>
      </c>
      <c r="C7" s="2" t="s">
        <v>20</v>
      </c>
      <c r="D7" s="31" t="s">
        <v>21</v>
      </c>
      <c r="E7" s="52">
        <v>16</v>
      </c>
      <c r="F7" s="42">
        <v>195</v>
      </c>
      <c r="G7" s="41">
        <f t="shared" si="0"/>
        <v>3120</v>
      </c>
      <c r="H7" s="42">
        <v>195</v>
      </c>
      <c r="I7" s="41">
        <f t="shared" si="1"/>
        <v>3120</v>
      </c>
      <c r="J7" s="38">
        <v>1950</v>
      </c>
      <c r="K7" s="13">
        <f t="shared" si="2"/>
        <v>31200</v>
      </c>
      <c r="L7" s="60">
        <v>14</v>
      </c>
      <c r="M7" s="32">
        <f t="shared" ref="M7:M67" si="4">SUM(F7,H7,J7)</f>
        <v>2340</v>
      </c>
      <c r="N7" s="23">
        <f t="shared" si="3"/>
        <v>32760</v>
      </c>
    </row>
    <row r="8" spans="1:14" x14ac:dyDescent="0.25">
      <c r="A8" s="7">
        <v>9</v>
      </c>
      <c r="B8" s="26" t="s">
        <v>22</v>
      </c>
      <c r="C8" s="2" t="s">
        <v>23</v>
      </c>
      <c r="D8" s="31" t="s">
        <v>24</v>
      </c>
      <c r="E8" s="52">
        <v>9.25</v>
      </c>
      <c r="F8" s="42">
        <v>270</v>
      </c>
      <c r="G8" s="41">
        <f t="shared" si="0"/>
        <v>2497.5</v>
      </c>
      <c r="H8" s="42">
        <v>270</v>
      </c>
      <c r="I8" s="41">
        <f t="shared" si="1"/>
        <v>2497.5</v>
      </c>
      <c r="J8" s="38">
        <v>22000</v>
      </c>
      <c r="K8" s="13">
        <f t="shared" si="2"/>
        <v>203500</v>
      </c>
      <c r="L8" s="60">
        <v>8</v>
      </c>
      <c r="M8" s="32">
        <f t="shared" si="4"/>
        <v>22540</v>
      </c>
      <c r="N8" s="23">
        <f t="shared" si="3"/>
        <v>180320</v>
      </c>
    </row>
    <row r="9" spans="1:14" x14ac:dyDescent="0.25">
      <c r="A9" s="7">
        <v>7</v>
      </c>
      <c r="B9" s="26" t="s">
        <v>25</v>
      </c>
      <c r="C9" s="2" t="s">
        <v>26</v>
      </c>
      <c r="D9" s="31" t="s">
        <v>10</v>
      </c>
      <c r="E9" s="52">
        <v>120000</v>
      </c>
      <c r="F9" s="22" t="s">
        <v>11</v>
      </c>
      <c r="G9" s="13">
        <f>IF(F9="All Req'd",E9,F9*E9)</f>
        <v>120000</v>
      </c>
      <c r="H9" s="22">
        <v>0</v>
      </c>
      <c r="I9" s="13">
        <f>IF(H9="All Req'd",E9,H9*E9)</f>
        <v>0</v>
      </c>
      <c r="J9" s="7">
        <v>0</v>
      </c>
      <c r="K9" s="13">
        <f t="shared" si="2"/>
        <v>0</v>
      </c>
      <c r="L9" s="46">
        <v>120000</v>
      </c>
      <c r="M9" s="32" t="s">
        <v>11</v>
      </c>
      <c r="N9" s="23">
        <f t="shared" si="3"/>
        <v>120000</v>
      </c>
    </row>
    <row r="10" spans="1:14" x14ac:dyDescent="0.25">
      <c r="A10" s="7">
        <v>9</v>
      </c>
      <c r="B10" s="26" t="s">
        <v>27</v>
      </c>
      <c r="C10" s="2" t="s">
        <v>28</v>
      </c>
      <c r="D10" s="31" t="s">
        <v>21</v>
      </c>
      <c r="E10" s="52">
        <v>35</v>
      </c>
      <c r="F10" s="22">
        <v>0</v>
      </c>
      <c r="G10" s="13">
        <f>IF(F10="All Req'd",E10,F10*E10)</f>
        <v>0</v>
      </c>
      <c r="H10" s="22">
        <v>0</v>
      </c>
      <c r="I10" s="13">
        <f t="shared" si="1"/>
        <v>0</v>
      </c>
      <c r="J10" s="7">
        <v>1112</v>
      </c>
      <c r="K10" s="13">
        <f t="shared" si="2"/>
        <v>38920</v>
      </c>
      <c r="L10" s="46">
        <v>35</v>
      </c>
      <c r="M10" s="32">
        <f t="shared" si="4"/>
        <v>1112</v>
      </c>
      <c r="N10" s="23">
        <f t="shared" si="3"/>
        <v>38920</v>
      </c>
    </row>
    <row r="11" spans="1:14" x14ac:dyDescent="0.25">
      <c r="A11" s="7">
        <v>9</v>
      </c>
      <c r="B11" s="26" t="s">
        <v>29</v>
      </c>
      <c r="C11" s="2" t="s">
        <v>30</v>
      </c>
      <c r="D11" s="31" t="s">
        <v>24</v>
      </c>
      <c r="E11" s="52">
        <v>22</v>
      </c>
      <c r="F11" s="42">
        <v>46</v>
      </c>
      <c r="G11" s="41">
        <f t="shared" si="0"/>
        <v>1012</v>
      </c>
      <c r="H11" s="42">
        <v>46</v>
      </c>
      <c r="I11" s="41">
        <f t="shared" si="1"/>
        <v>1012</v>
      </c>
      <c r="J11" s="38">
        <v>840</v>
      </c>
      <c r="K11" s="13">
        <f t="shared" si="2"/>
        <v>18480</v>
      </c>
      <c r="L11" s="46">
        <v>22</v>
      </c>
      <c r="M11" s="32">
        <f t="shared" si="4"/>
        <v>932</v>
      </c>
      <c r="N11" s="23">
        <f t="shared" si="3"/>
        <v>20504</v>
      </c>
    </row>
    <row r="12" spans="1:14" x14ac:dyDescent="0.25">
      <c r="A12" s="7">
        <v>9</v>
      </c>
      <c r="B12" s="26" t="s">
        <v>31</v>
      </c>
      <c r="C12" s="2" t="s">
        <v>32</v>
      </c>
      <c r="D12" s="31" t="s">
        <v>24</v>
      </c>
      <c r="E12" s="52">
        <v>75</v>
      </c>
      <c r="F12" s="42">
        <v>70</v>
      </c>
      <c r="G12" s="41">
        <f t="shared" si="0"/>
        <v>5250</v>
      </c>
      <c r="H12" s="42">
        <v>70</v>
      </c>
      <c r="I12" s="41">
        <f t="shared" si="1"/>
        <v>5250</v>
      </c>
      <c r="J12" s="38">
        <v>910</v>
      </c>
      <c r="K12" s="13">
        <f t="shared" si="2"/>
        <v>68250</v>
      </c>
      <c r="L12" s="46">
        <v>75</v>
      </c>
      <c r="M12" s="32">
        <f t="shared" si="4"/>
        <v>1050</v>
      </c>
      <c r="N12" s="23">
        <f t="shared" si="3"/>
        <v>78750</v>
      </c>
    </row>
    <row r="13" spans="1:14" x14ac:dyDescent="0.25">
      <c r="A13" s="7">
        <v>9</v>
      </c>
      <c r="B13" s="26" t="s">
        <v>33</v>
      </c>
      <c r="C13" s="2" t="s">
        <v>34</v>
      </c>
      <c r="D13" s="31" t="s">
        <v>24</v>
      </c>
      <c r="E13" s="52">
        <v>400</v>
      </c>
      <c r="F13" s="42">
        <v>4</v>
      </c>
      <c r="G13" s="41">
        <f t="shared" si="0"/>
        <v>1600</v>
      </c>
      <c r="H13" s="42">
        <v>4</v>
      </c>
      <c r="I13" s="41">
        <f t="shared" si="1"/>
        <v>1600</v>
      </c>
      <c r="J13" s="38">
        <v>50</v>
      </c>
      <c r="K13" s="13">
        <f t="shared" si="2"/>
        <v>20000</v>
      </c>
      <c r="L13" s="46">
        <v>400</v>
      </c>
      <c r="M13" s="32">
        <f t="shared" si="4"/>
        <v>58</v>
      </c>
      <c r="N13" s="23">
        <f t="shared" si="3"/>
        <v>23200</v>
      </c>
    </row>
    <row r="14" spans="1:14" x14ac:dyDescent="0.25">
      <c r="A14" s="7">
        <v>9</v>
      </c>
      <c r="B14" s="26" t="s">
        <v>36</v>
      </c>
      <c r="C14" s="2" t="s">
        <v>37</v>
      </c>
      <c r="D14" s="31" t="s">
        <v>24</v>
      </c>
      <c r="E14" s="52">
        <v>80</v>
      </c>
      <c r="F14" s="42">
        <v>48</v>
      </c>
      <c r="G14" s="41">
        <f t="shared" si="0"/>
        <v>3840</v>
      </c>
      <c r="H14" s="42">
        <v>48</v>
      </c>
      <c r="I14" s="41">
        <f t="shared" si="1"/>
        <v>3840</v>
      </c>
      <c r="J14" s="38">
        <v>620</v>
      </c>
      <c r="K14" s="13">
        <f t="shared" si="2"/>
        <v>49600</v>
      </c>
      <c r="L14" s="46">
        <v>80</v>
      </c>
      <c r="M14" s="32">
        <f t="shared" si="4"/>
        <v>716</v>
      </c>
      <c r="N14" s="23">
        <f t="shared" si="3"/>
        <v>57280</v>
      </c>
    </row>
    <row r="15" spans="1:14" x14ac:dyDescent="0.25">
      <c r="A15" s="7">
        <v>9</v>
      </c>
      <c r="B15" s="26" t="s">
        <v>38</v>
      </c>
      <c r="C15" s="2" t="s">
        <v>34</v>
      </c>
      <c r="D15" s="31" t="s">
        <v>24</v>
      </c>
      <c r="E15" s="52">
        <v>400</v>
      </c>
      <c r="F15" s="42">
        <v>3</v>
      </c>
      <c r="G15" s="41">
        <f t="shared" si="0"/>
        <v>1200</v>
      </c>
      <c r="H15" s="42">
        <v>3</v>
      </c>
      <c r="I15" s="41">
        <f t="shared" si="1"/>
        <v>1200</v>
      </c>
      <c r="J15" s="38">
        <v>34</v>
      </c>
      <c r="K15" s="13">
        <f t="shared" si="2"/>
        <v>13600</v>
      </c>
      <c r="L15" s="46">
        <v>400</v>
      </c>
      <c r="M15" s="32">
        <f t="shared" si="4"/>
        <v>40</v>
      </c>
      <c r="N15" s="23">
        <f t="shared" si="3"/>
        <v>16000</v>
      </c>
    </row>
    <row r="16" spans="1:14" x14ac:dyDescent="0.25">
      <c r="A16" s="7">
        <v>9</v>
      </c>
      <c r="B16" s="26" t="s">
        <v>39</v>
      </c>
      <c r="C16" s="2" t="s">
        <v>40</v>
      </c>
      <c r="D16" s="31" t="s">
        <v>35</v>
      </c>
      <c r="E16" s="52">
        <v>86680</v>
      </c>
      <c r="F16" s="22" t="s">
        <v>11</v>
      </c>
      <c r="G16" s="41">
        <f>0.055*(G14+G15)</f>
        <v>277.2</v>
      </c>
      <c r="H16" s="22" t="s">
        <v>11</v>
      </c>
      <c r="I16" s="41">
        <f>0.055*(I14+I15)</f>
        <v>277.2</v>
      </c>
      <c r="J16" s="22" t="s">
        <v>11</v>
      </c>
      <c r="K16" s="13">
        <f>0.055*(K14+K15)</f>
        <v>3476</v>
      </c>
      <c r="L16" s="46">
        <v>86680</v>
      </c>
      <c r="M16" s="32" t="s">
        <v>11</v>
      </c>
      <c r="N16" s="23">
        <f t="shared" si="3"/>
        <v>86680</v>
      </c>
    </row>
    <row r="17" spans="1:14" x14ac:dyDescent="0.25">
      <c r="A17" s="7">
        <v>9</v>
      </c>
      <c r="B17" s="26" t="s">
        <v>41</v>
      </c>
      <c r="C17" s="2" t="s">
        <v>42</v>
      </c>
      <c r="D17" s="31" t="s">
        <v>15</v>
      </c>
      <c r="E17" s="52">
        <v>0.5</v>
      </c>
      <c r="F17" s="42">
        <v>250</v>
      </c>
      <c r="G17" s="41">
        <f t="shared" si="0"/>
        <v>125</v>
      </c>
      <c r="H17" s="42">
        <v>250</v>
      </c>
      <c r="I17" s="41">
        <f t="shared" si="1"/>
        <v>125</v>
      </c>
      <c r="J17" s="38">
        <v>1650</v>
      </c>
      <c r="K17" s="13">
        <f t="shared" si="2"/>
        <v>825</v>
      </c>
      <c r="L17" s="46">
        <v>0.5</v>
      </c>
      <c r="M17" s="32">
        <f t="shared" si="4"/>
        <v>2150</v>
      </c>
      <c r="N17" s="23">
        <f t="shared" si="3"/>
        <v>1075</v>
      </c>
    </row>
    <row r="18" spans="1:14" x14ac:dyDescent="0.25">
      <c r="A18" s="7">
        <v>9</v>
      </c>
      <c r="B18" s="26" t="s">
        <v>43</v>
      </c>
      <c r="C18" s="2" t="s">
        <v>44</v>
      </c>
      <c r="D18" s="31" t="s">
        <v>24</v>
      </c>
      <c r="E18" s="52">
        <v>1000</v>
      </c>
      <c r="F18" s="55">
        <v>0.2</v>
      </c>
      <c r="G18" s="41">
        <f t="shared" si="0"/>
        <v>200</v>
      </c>
      <c r="H18" s="55">
        <v>0.2</v>
      </c>
      <c r="I18" s="41">
        <f t="shared" si="1"/>
        <v>200</v>
      </c>
      <c r="J18" s="38">
        <v>2</v>
      </c>
      <c r="K18" s="13">
        <f t="shared" si="2"/>
        <v>2000</v>
      </c>
      <c r="L18" s="46">
        <v>1000</v>
      </c>
      <c r="M18" s="32">
        <f t="shared" si="4"/>
        <v>2.4</v>
      </c>
      <c r="N18" s="23">
        <f t="shared" si="3"/>
        <v>2400</v>
      </c>
    </row>
    <row r="19" spans="1:14" x14ac:dyDescent="0.25">
      <c r="A19" s="7">
        <v>9</v>
      </c>
      <c r="B19" s="26" t="s">
        <v>45</v>
      </c>
      <c r="C19" s="2" t="s">
        <v>46</v>
      </c>
      <c r="D19" s="31" t="s">
        <v>21</v>
      </c>
      <c r="E19" s="52">
        <v>1750</v>
      </c>
      <c r="F19" s="57">
        <v>71.099999999999994</v>
      </c>
      <c r="G19" s="13">
        <f t="shared" si="0"/>
        <v>124424.99999999999</v>
      </c>
      <c r="H19" s="57">
        <v>117.6</v>
      </c>
      <c r="I19" s="13">
        <f t="shared" si="1"/>
        <v>205800</v>
      </c>
      <c r="J19" s="7">
        <v>470.4</v>
      </c>
      <c r="K19" s="13">
        <f t="shared" si="2"/>
        <v>823200</v>
      </c>
      <c r="L19" s="46">
        <v>1750</v>
      </c>
      <c r="M19" s="32">
        <f t="shared" si="4"/>
        <v>659.09999999999991</v>
      </c>
      <c r="N19" s="23">
        <f t="shared" si="3"/>
        <v>1153424.9999999998</v>
      </c>
    </row>
    <row r="20" spans="1:14" x14ac:dyDescent="0.25">
      <c r="A20" s="7">
        <v>9</v>
      </c>
      <c r="B20" s="26" t="s">
        <v>47</v>
      </c>
      <c r="C20" s="2" t="s">
        <v>48</v>
      </c>
      <c r="D20" s="31" t="s">
        <v>16</v>
      </c>
      <c r="E20" s="52">
        <v>80000</v>
      </c>
      <c r="F20" s="22">
        <v>0</v>
      </c>
      <c r="G20" s="13">
        <f t="shared" si="0"/>
        <v>0</v>
      </c>
      <c r="H20" s="22">
        <v>0</v>
      </c>
      <c r="I20" s="13">
        <f t="shared" si="1"/>
        <v>0</v>
      </c>
      <c r="J20" s="7">
        <v>12</v>
      </c>
      <c r="K20" s="13">
        <f t="shared" si="2"/>
        <v>960000</v>
      </c>
      <c r="L20" s="46">
        <v>80000</v>
      </c>
      <c r="M20" s="32">
        <f t="shared" si="4"/>
        <v>12</v>
      </c>
      <c r="N20" s="23">
        <f t="shared" si="3"/>
        <v>960000</v>
      </c>
    </row>
    <row r="21" spans="1:14" x14ac:dyDescent="0.25">
      <c r="A21" s="7">
        <v>9</v>
      </c>
      <c r="B21" s="26" t="s">
        <v>49</v>
      </c>
      <c r="C21" s="2" t="s">
        <v>50</v>
      </c>
      <c r="D21" s="31" t="s">
        <v>105</v>
      </c>
      <c r="E21" s="52">
        <v>2.2999999999999998</v>
      </c>
      <c r="F21" s="22">
        <v>12100</v>
      </c>
      <c r="G21" s="13">
        <f t="shared" si="0"/>
        <v>27829.999999999996</v>
      </c>
      <c r="H21" s="22">
        <v>37000</v>
      </c>
      <c r="I21" s="13">
        <f t="shared" si="1"/>
        <v>85100</v>
      </c>
      <c r="J21" s="54">
        <v>62310</v>
      </c>
      <c r="K21" s="13">
        <f t="shared" si="2"/>
        <v>143313</v>
      </c>
      <c r="L21" s="46">
        <v>2.2999999999999998</v>
      </c>
      <c r="M21" s="32">
        <f t="shared" si="4"/>
        <v>111410</v>
      </c>
      <c r="N21" s="23">
        <f t="shared" si="3"/>
        <v>256242.99999999997</v>
      </c>
    </row>
    <row r="22" spans="1:14" x14ac:dyDescent="0.25">
      <c r="A22" s="7">
        <v>9</v>
      </c>
      <c r="B22" s="26" t="s">
        <v>51</v>
      </c>
      <c r="C22" s="2" t="s">
        <v>52</v>
      </c>
      <c r="D22" s="31" t="s">
        <v>105</v>
      </c>
      <c r="E22" s="52">
        <v>2.75</v>
      </c>
      <c r="F22" s="22">
        <v>25000</v>
      </c>
      <c r="G22" s="13">
        <f t="shared" si="0"/>
        <v>68750</v>
      </c>
      <c r="H22" s="22">
        <v>25280</v>
      </c>
      <c r="I22" s="13">
        <f t="shared" si="1"/>
        <v>69520</v>
      </c>
      <c r="J22" s="54">
        <v>22885</v>
      </c>
      <c r="K22" s="13">
        <f t="shared" si="2"/>
        <v>62933.75</v>
      </c>
      <c r="L22" s="46">
        <v>2.75</v>
      </c>
      <c r="M22" s="32">
        <f t="shared" si="4"/>
        <v>73165</v>
      </c>
      <c r="N22" s="23">
        <f t="shared" si="3"/>
        <v>201203.75</v>
      </c>
    </row>
    <row r="23" spans="1:14" x14ac:dyDescent="0.25">
      <c r="A23" s="7">
        <v>9</v>
      </c>
      <c r="B23" s="26" t="s">
        <v>53</v>
      </c>
      <c r="C23" s="2" t="s">
        <v>54</v>
      </c>
      <c r="D23" s="31" t="s">
        <v>16</v>
      </c>
      <c r="E23" s="52">
        <v>150</v>
      </c>
      <c r="F23" s="22">
        <v>256</v>
      </c>
      <c r="G23" s="13">
        <f t="shared" si="0"/>
        <v>38400</v>
      </c>
      <c r="H23" s="22">
        <v>774</v>
      </c>
      <c r="I23" s="13">
        <f t="shared" si="1"/>
        <v>116100</v>
      </c>
      <c r="J23" s="54">
        <v>0</v>
      </c>
      <c r="K23" s="13">
        <f t="shared" si="2"/>
        <v>0</v>
      </c>
      <c r="L23" s="46">
        <v>150</v>
      </c>
      <c r="M23" s="32">
        <f t="shared" si="4"/>
        <v>1030</v>
      </c>
      <c r="N23" s="23">
        <f t="shared" si="3"/>
        <v>154500</v>
      </c>
    </row>
    <row r="24" spans="1:14" x14ac:dyDescent="0.25">
      <c r="A24" s="7">
        <v>9</v>
      </c>
      <c r="B24" s="26" t="s">
        <v>55</v>
      </c>
      <c r="C24" s="2" t="s">
        <v>56</v>
      </c>
      <c r="D24" s="31" t="s">
        <v>15</v>
      </c>
      <c r="E24" s="52">
        <v>150</v>
      </c>
      <c r="F24" s="22">
        <v>0</v>
      </c>
      <c r="G24" s="13">
        <f t="shared" si="0"/>
        <v>0</v>
      </c>
      <c r="H24" s="22">
        <v>0</v>
      </c>
      <c r="I24" s="13">
        <f t="shared" si="1"/>
        <v>0</v>
      </c>
      <c r="J24" s="22">
        <v>1121</v>
      </c>
      <c r="K24" s="13">
        <f t="shared" si="2"/>
        <v>168150</v>
      </c>
      <c r="L24" s="46">
        <v>150</v>
      </c>
      <c r="M24" s="32">
        <f t="shared" si="4"/>
        <v>1121</v>
      </c>
      <c r="N24" s="23">
        <f t="shared" si="3"/>
        <v>168150</v>
      </c>
    </row>
    <row r="25" spans="1:14" x14ac:dyDescent="0.25">
      <c r="A25" s="7">
        <v>9</v>
      </c>
      <c r="B25" s="26" t="s">
        <v>55</v>
      </c>
      <c r="C25" s="2" t="s">
        <v>57</v>
      </c>
      <c r="D25" s="31" t="s">
        <v>15</v>
      </c>
      <c r="E25" s="52">
        <v>500</v>
      </c>
      <c r="F25" s="22">
        <v>0</v>
      </c>
      <c r="G25" s="13">
        <f t="shared" si="0"/>
        <v>0</v>
      </c>
      <c r="H25" s="22">
        <v>0</v>
      </c>
      <c r="I25" s="13">
        <f t="shared" si="1"/>
        <v>0</v>
      </c>
      <c r="J25" s="22">
        <v>645.4</v>
      </c>
      <c r="K25" s="13">
        <f t="shared" si="2"/>
        <v>322700</v>
      </c>
      <c r="L25" s="46">
        <v>500</v>
      </c>
      <c r="M25" s="32">
        <f t="shared" si="4"/>
        <v>645.4</v>
      </c>
      <c r="N25" s="23">
        <f t="shared" si="3"/>
        <v>322700</v>
      </c>
    </row>
    <row r="26" spans="1:14" x14ac:dyDescent="0.25">
      <c r="A26" s="7">
        <v>9</v>
      </c>
      <c r="B26" s="26" t="s">
        <v>58</v>
      </c>
      <c r="C26" s="2" t="s">
        <v>59</v>
      </c>
      <c r="D26" s="31" t="s">
        <v>16</v>
      </c>
      <c r="E26" s="52">
        <v>20000</v>
      </c>
      <c r="F26" s="22">
        <v>0</v>
      </c>
      <c r="G26" s="13">
        <f t="shared" si="0"/>
        <v>0</v>
      </c>
      <c r="H26" s="22">
        <v>0</v>
      </c>
      <c r="I26" s="13">
        <f t="shared" si="1"/>
        <v>0</v>
      </c>
      <c r="J26" s="22">
        <v>12</v>
      </c>
      <c r="K26" s="13">
        <f t="shared" si="2"/>
        <v>240000</v>
      </c>
      <c r="L26" s="46">
        <v>20000</v>
      </c>
      <c r="M26" s="32">
        <f t="shared" si="4"/>
        <v>12</v>
      </c>
      <c r="N26" s="23">
        <f t="shared" si="3"/>
        <v>240000</v>
      </c>
    </row>
    <row r="27" spans="1:14" x14ac:dyDescent="0.25">
      <c r="A27" s="7">
        <v>9</v>
      </c>
      <c r="B27" s="26" t="s">
        <v>58</v>
      </c>
      <c r="C27" s="2" t="s">
        <v>60</v>
      </c>
      <c r="D27" s="31" t="s">
        <v>16</v>
      </c>
      <c r="E27" s="52">
        <v>35000</v>
      </c>
      <c r="F27" s="22">
        <v>0</v>
      </c>
      <c r="G27" s="13">
        <f t="shared" si="0"/>
        <v>0</v>
      </c>
      <c r="H27" s="22">
        <v>0</v>
      </c>
      <c r="I27" s="13">
        <f t="shared" si="1"/>
        <v>0</v>
      </c>
      <c r="J27" s="22">
        <v>4</v>
      </c>
      <c r="K27" s="13">
        <f t="shared" si="2"/>
        <v>140000</v>
      </c>
      <c r="L27" s="46">
        <v>35000</v>
      </c>
      <c r="M27" s="32">
        <f t="shared" si="4"/>
        <v>4</v>
      </c>
      <c r="N27" s="23">
        <f t="shared" si="3"/>
        <v>140000</v>
      </c>
    </row>
    <row r="28" spans="1:14" x14ac:dyDescent="0.25">
      <c r="A28" s="7">
        <v>7</v>
      </c>
      <c r="B28" s="26" t="s">
        <v>61</v>
      </c>
      <c r="C28" s="2" t="s">
        <v>62</v>
      </c>
      <c r="D28" s="31" t="s">
        <v>35</v>
      </c>
      <c r="E28" s="52">
        <v>20000</v>
      </c>
      <c r="F28" s="22">
        <v>0</v>
      </c>
      <c r="G28" s="13">
        <f t="shared" si="0"/>
        <v>0</v>
      </c>
      <c r="H28" s="22">
        <v>0</v>
      </c>
      <c r="I28" s="13">
        <f t="shared" si="1"/>
        <v>0</v>
      </c>
      <c r="J28" s="22" t="s">
        <v>11</v>
      </c>
      <c r="K28" s="13">
        <f t="shared" si="2"/>
        <v>20000</v>
      </c>
      <c r="L28" s="46">
        <v>20000</v>
      </c>
      <c r="M28" s="32" t="s">
        <v>11</v>
      </c>
      <c r="N28" s="23">
        <f t="shared" si="3"/>
        <v>20000</v>
      </c>
    </row>
    <row r="29" spans="1:14" x14ac:dyDescent="0.25">
      <c r="A29" s="7">
        <v>9</v>
      </c>
      <c r="B29" s="26" t="s">
        <v>63</v>
      </c>
      <c r="C29" s="2" t="s">
        <v>64</v>
      </c>
      <c r="D29" s="31" t="s">
        <v>15</v>
      </c>
      <c r="E29" s="52">
        <v>250</v>
      </c>
      <c r="F29" s="22">
        <v>0</v>
      </c>
      <c r="G29" s="13">
        <f t="shared" si="0"/>
        <v>0</v>
      </c>
      <c r="H29" s="22">
        <v>0</v>
      </c>
      <c r="I29" s="13">
        <f t="shared" si="1"/>
        <v>0</v>
      </c>
      <c r="J29" s="22">
        <v>528</v>
      </c>
      <c r="K29" s="13">
        <f t="shared" si="2"/>
        <v>132000</v>
      </c>
      <c r="L29" s="46">
        <v>250</v>
      </c>
      <c r="M29" s="32">
        <f t="shared" si="4"/>
        <v>528</v>
      </c>
      <c r="N29" s="23">
        <f t="shared" si="3"/>
        <v>132000</v>
      </c>
    </row>
    <row r="30" spans="1:14" x14ac:dyDescent="0.25">
      <c r="A30" s="7">
        <v>9</v>
      </c>
      <c r="B30" s="26" t="s">
        <v>65</v>
      </c>
      <c r="C30" s="2" t="s">
        <v>66</v>
      </c>
      <c r="D30" s="31" t="s">
        <v>15</v>
      </c>
      <c r="E30" s="52">
        <v>300</v>
      </c>
      <c r="F30" s="22">
        <v>417</v>
      </c>
      <c r="G30" s="13">
        <f t="shared" si="0"/>
        <v>125100</v>
      </c>
      <c r="H30" s="22">
        <v>1333</v>
      </c>
      <c r="I30" s="13">
        <f t="shared" si="1"/>
        <v>399900</v>
      </c>
      <c r="J30" s="22">
        <v>0</v>
      </c>
      <c r="K30" s="13">
        <f t="shared" si="2"/>
        <v>0</v>
      </c>
      <c r="L30" s="46">
        <v>300</v>
      </c>
      <c r="M30" s="32">
        <f t="shared" si="4"/>
        <v>1750</v>
      </c>
      <c r="N30" s="23">
        <f t="shared" si="3"/>
        <v>525000</v>
      </c>
    </row>
    <row r="31" spans="1:14" x14ac:dyDescent="0.25">
      <c r="A31" s="7">
        <v>9</v>
      </c>
      <c r="B31" s="26" t="s">
        <v>67</v>
      </c>
      <c r="C31" s="2" t="s">
        <v>68</v>
      </c>
      <c r="D31" s="31" t="s">
        <v>10</v>
      </c>
      <c r="E31" s="52">
        <v>147000</v>
      </c>
      <c r="F31" s="22">
        <v>0</v>
      </c>
      <c r="G31" s="13">
        <f t="shared" si="0"/>
        <v>0</v>
      </c>
      <c r="H31" s="22">
        <v>0</v>
      </c>
      <c r="I31" s="13">
        <f t="shared" si="1"/>
        <v>0</v>
      </c>
      <c r="J31" s="22" t="s">
        <v>11</v>
      </c>
      <c r="K31" s="13">
        <f t="shared" si="2"/>
        <v>147000</v>
      </c>
      <c r="L31" s="46">
        <v>147000</v>
      </c>
      <c r="M31" s="32" t="s">
        <v>11</v>
      </c>
      <c r="N31" s="23">
        <f t="shared" si="3"/>
        <v>147000</v>
      </c>
    </row>
    <row r="32" spans="1:14" x14ac:dyDescent="0.25">
      <c r="A32" s="7">
        <v>9</v>
      </c>
      <c r="B32" s="26" t="s">
        <v>69</v>
      </c>
      <c r="C32" s="2" t="s">
        <v>70</v>
      </c>
      <c r="D32" s="31" t="s">
        <v>71</v>
      </c>
      <c r="E32" s="52">
        <v>150</v>
      </c>
      <c r="F32" s="22">
        <v>1625</v>
      </c>
      <c r="G32" s="13">
        <f t="shared" si="0"/>
        <v>243750</v>
      </c>
      <c r="H32" s="22">
        <v>3500</v>
      </c>
      <c r="I32" s="13">
        <f t="shared" si="1"/>
        <v>525000</v>
      </c>
      <c r="J32" s="22">
        <v>0</v>
      </c>
      <c r="K32" s="13">
        <f t="shared" si="2"/>
        <v>0</v>
      </c>
      <c r="L32" s="46">
        <v>150</v>
      </c>
      <c r="M32" s="32">
        <f t="shared" si="4"/>
        <v>5125</v>
      </c>
      <c r="N32" s="23">
        <f t="shared" si="3"/>
        <v>768750</v>
      </c>
    </row>
    <row r="33" spans="1:16" x14ac:dyDescent="0.25">
      <c r="A33" s="7">
        <v>9</v>
      </c>
      <c r="B33" s="26" t="s">
        <v>72</v>
      </c>
      <c r="C33" s="2" t="s">
        <v>73</v>
      </c>
      <c r="D33" s="31" t="s">
        <v>35</v>
      </c>
      <c r="E33" s="52">
        <v>2.2999999999999998</v>
      </c>
      <c r="F33" s="22">
        <v>3000</v>
      </c>
      <c r="G33" s="13">
        <f t="shared" si="0"/>
        <v>6899.9999999999991</v>
      </c>
      <c r="H33" s="22">
        <v>16000</v>
      </c>
      <c r="I33" s="13">
        <f t="shared" si="1"/>
        <v>36800</v>
      </c>
      <c r="J33" s="54">
        <v>0</v>
      </c>
      <c r="K33" s="13">
        <f t="shared" si="2"/>
        <v>0</v>
      </c>
      <c r="L33" s="46">
        <v>2.2999999999999998</v>
      </c>
      <c r="M33" s="32">
        <f t="shared" si="4"/>
        <v>19000</v>
      </c>
      <c r="N33" s="23">
        <f t="shared" si="3"/>
        <v>43700</v>
      </c>
    </row>
    <row r="34" spans="1:16" x14ac:dyDescent="0.25">
      <c r="A34" s="7">
        <v>9</v>
      </c>
      <c r="B34" s="26" t="s">
        <v>74</v>
      </c>
      <c r="C34" s="2" t="s">
        <v>75</v>
      </c>
      <c r="D34" s="31" t="s">
        <v>10</v>
      </c>
      <c r="E34" s="52">
        <v>10000</v>
      </c>
      <c r="F34" s="22" t="s">
        <v>11</v>
      </c>
      <c r="G34" s="13">
        <f t="shared" si="0"/>
        <v>10000</v>
      </c>
      <c r="H34" s="22">
        <v>0</v>
      </c>
      <c r="I34" s="13">
        <f t="shared" si="1"/>
        <v>0</v>
      </c>
      <c r="J34" s="22">
        <v>0</v>
      </c>
      <c r="K34" s="13">
        <f t="shared" si="2"/>
        <v>0</v>
      </c>
      <c r="L34" s="46">
        <v>10000</v>
      </c>
      <c r="M34" s="32" t="s">
        <v>11</v>
      </c>
      <c r="N34" s="23">
        <f t="shared" si="3"/>
        <v>10000</v>
      </c>
    </row>
    <row r="35" spans="1:16" x14ac:dyDescent="0.25">
      <c r="A35" s="7">
        <v>9</v>
      </c>
      <c r="B35" s="26" t="s">
        <v>76</v>
      </c>
      <c r="C35" s="2" t="s">
        <v>77</v>
      </c>
      <c r="D35" s="31" t="s">
        <v>15</v>
      </c>
      <c r="E35" s="52">
        <v>250</v>
      </c>
      <c r="F35" s="22">
        <v>103</v>
      </c>
      <c r="G35" s="13">
        <f t="shared" si="0"/>
        <v>25750</v>
      </c>
      <c r="H35" s="22">
        <v>273</v>
      </c>
      <c r="I35" s="13">
        <f t="shared" si="1"/>
        <v>68250</v>
      </c>
      <c r="J35" s="22">
        <v>0</v>
      </c>
      <c r="K35" s="13">
        <f t="shared" si="2"/>
        <v>0</v>
      </c>
      <c r="L35" s="46">
        <v>250</v>
      </c>
      <c r="M35" s="32">
        <f t="shared" si="4"/>
        <v>376</v>
      </c>
      <c r="N35" s="23">
        <f t="shared" si="3"/>
        <v>94000</v>
      </c>
    </row>
    <row r="36" spans="1:16" x14ac:dyDescent="0.25">
      <c r="A36" s="7">
        <v>9</v>
      </c>
      <c r="B36" s="26" t="s">
        <v>78</v>
      </c>
      <c r="C36" s="2" t="s">
        <v>79</v>
      </c>
      <c r="D36" s="31" t="s">
        <v>10</v>
      </c>
      <c r="E36" s="52">
        <v>680000</v>
      </c>
      <c r="F36" s="22">
        <v>0</v>
      </c>
      <c r="G36" s="13">
        <f t="shared" si="0"/>
        <v>0</v>
      </c>
      <c r="H36" s="22">
        <v>0</v>
      </c>
      <c r="I36" s="13">
        <f t="shared" si="1"/>
        <v>0</v>
      </c>
      <c r="J36" s="22" t="s">
        <v>11</v>
      </c>
      <c r="K36" s="13">
        <f t="shared" si="2"/>
        <v>680000</v>
      </c>
      <c r="L36" s="46">
        <v>680000</v>
      </c>
      <c r="M36" s="32" t="s">
        <v>11</v>
      </c>
      <c r="N36" s="23">
        <f t="shared" si="3"/>
        <v>680000</v>
      </c>
    </row>
    <row r="37" spans="1:16" x14ac:dyDescent="0.25">
      <c r="A37" s="7">
        <v>9</v>
      </c>
      <c r="B37" s="26" t="s">
        <v>80</v>
      </c>
      <c r="C37" s="2" t="s">
        <v>81</v>
      </c>
      <c r="D37" s="31" t="s">
        <v>82</v>
      </c>
      <c r="E37" s="52">
        <v>904</v>
      </c>
      <c r="F37" s="22">
        <v>520</v>
      </c>
      <c r="G37" s="13">
        <f t="shared" si="0"/>
        <v>470080</v>
      </c>
      <c r="H37" s="22">
        <v>1785</v>
      </c>
      <c r="I37" s="13">
        <f t="shared" si="1"/>
        <v>1613640</v>
      </c>
      <c r="J37" s="22">
        <v>0</v>
      </c>
      <c r="K37" s="13">
        <f t="shared" si="2"/>
        <v>0</v>
      </c>
      <c r="L37" s="46">
        <v>904</v>
      </c>
      <c r="M37" s="32">
        <f t="shared" si="4"/>
        <v>2305</v>
      </c>
      <c r="N37" s="23">
        <f t="shared" si="3"/>
        <v>2083720</v>
      </c>
    </row>
    <row r="38" spans="1:16" x14ac:dyDescent="0.25">
      <c r="A38" s="7">
        <v>9</v>
      </c>
      <c r="B38" s="26" t="s">
        <v>83</v>
      </c>
      <c r="C38" s="2" t="s">
        <v>84</v>
      </c>
      <c r="D38" s="31" t="s">
        <v>15</v>
      </c>
      <c r="E38" s="52">
        <v>24</v>
      </c>
      <c r="F38" s="42">
        <v>350</v>
      </c>
      <c r="G38" s="41">
        <f t="shared" si="0"/>
        <v>8400</v>
      </c>
      <c r="H38" s="42">
        <v>300</v>
      </c>
      <c r="I38" s="41">
        <f t="shared" si="1"/>
        <v>7200</v>
      </c>
      <c r="J38" s="42">
        <v>525</v>
      </c>
      <c r="K38" s="13">
        <f t="shared" si="2"/>
        <v>12600</v>
      </c>
      <c r="L38" s="60">
        <v>22</v>
      </c>
      <c r="M38" s="32">
        <f t="shared" si="4"/>
        <v>1175</v>
      </c>
      <c r="N38" s="23">
        <f t="shared" si="3"/>
        <v>25850</v>
      </c>
    </row>
    <row r="39" spans="1:16" x14ac:dyDescent="0.25">
      <c r="A39" s="7">
        <v>8</v>
      </c>
      <c r="B39" s="26" t="s">
        <v>85</v>
      </c>
      <c r="C39" s="2" t="s">
        <v>86</v>
      </c>
      <c r="D39" s="31" t="s">
        <v>15</v>
      </c>
      <c r="E39" s="52">
        <v>3.25</v>
      </c>
      <c r="F39" s="42">
        <v>540</v>
      </c>
      <c r="G39" s="41">
        <f t="shared" si="0"/>
        <v>1755</v>
      </c>
      <c r="H39" s="42">
        <v>560</v>
      </c>
      <c r="I39" s="41">
        <f t="shared" si="1"/>
        <v>1820</v>
      </c>
      <c r="J39" s="42">
        <v>200</v>
      </c>
      <c r="K39" s="13">
        <f t="shared" si="2"/>
        <v>650</v>
      </c>
      <c r="L39" s="46">
        <v>3.25</v>
      </c>
      <c r="M39" s="32">
        <f t="shared" si="4"/>
        <v>1300</v>
      </c>
      <c r="N39" s="23">
        <f t="shared" si="3"/>
        <v>4225</v>
      </c>
    </row>
    <row r="40" spans="1:16" x14ac:dyDescent="0.25">
      <c r="A40" s="7">
        <v>9</v>
      </c>
      <c r="B40" s="26" t="s">
        <v>87</v>
      </c>
      <c r="C40" s="2" t="s">
        <v>88</v>
      </c>
      <c r="D40" s="31" t="s">
        <v>16</v>
      </c>
      <c r="E40" s="52">
        <v>3750</v>
      </c>
      <c r="F40" s="42">
        <v>1</v>
      </c>
      <c r="G40" s="41">
        <f t="shared" si="0"/>
        <v>3750</v>
      </c>
      <c r="H40" s="42">
        <v>0</v>
      </c>
      <c r="I40" s="41">
        <f t="shared" si="1"/>
        <v>0</v>
      </c>
      <c r="J40" s="42">
        <v>1</v>
      </c>
      <c r="K40" s="13">
        <f t="shared" si="2"/>
        <v>3750</v>
      </c>
      <c r="L40" s="46">
        <v>3750</v>
      </c>
      <c r="M40" s="32">
        <f t="shared" si="4"/>
        <v>2</v>
      </c>
      <c r="N40" s="23">
        <f t="shared" si="3"/>
        <v>7500</v>
      </c>
    </row>
    <row r="41" spans="1:16" x14ac:dyDescent="0.25">
      <c r="A41" s="7">
        <v>9</v>
      </c>
      <c r="B41" s="26" t="s">
        <v>89</v>
      </c>
      <c r="C41" s="2" t="s">
        <v>90</v>
      </c>
      <c r="D41" s="31" t="s">
        <v>16</v>
      </c>
      <c r="E41" s="52">
        <v>3300</v>
      </c>
      <c r="F41" s="42">
        <v>2</v>
      </c>
      <c r="G41" s="41">
        <f t="shared" si="0"/>
        <v>6600</v>
      </c>
      <c r="H41" s="42">
        <v>2</v>
      </c>
      <c r="I41" s="41">
        <f t="shared" si="1"/>
        <v>6600</v>
      </c>
      <c r="J41" s="42">
        <v>3</v>
      </c>
      <c r="K41" s="13">
        <f t="shared" si="2"/>
        <v>9900</v>
      </c>
      <c r="L41" s="46">
        <v>3300</v>
      </c>
      <c r="M41" s="32">
        <f t="shared" si="4"/>
        <v>7</v>
      </c>
      <c r="N41" s="23">
        <f t="shared" si="3"/>
        <v>23100</v>
      </c>
    </row>
    <row r="42" spans="1:16" x14ac:dyDescent="0.25">
      <c r="A42" s="7">
        <v>9</v>
      </c>
      <c r="B42" s="26" t="s">
        <v>91</v>
      </c>
      <c r="C42" s="2" t="s">
        <v>92</v>
      </c>
      <c r="D42" s="31" t="s">
        <v>16</v>
      </c>
      <c r="E42" s="52">
        <v>2750</v>
      </c>
      <c r="F42" s="22">
        <v>4</v>
      </c>
      <c r="G42" s="13">
        <f t="shared" si="0"/>
        <v>11000</v>
      </c>
      <c r="H42" s="22">
        <v>4</v>
      </c>
      <c r="I42" s="13">
        <f t="shared" si="1"/>
        <v>11000</v>
      </c>
      <c r="J42" s="22">
        <v>4</v>
      </c>
      <c r="K42" s="13">
        <f t="shared" si="2"/>
        <v>11000</v>
      </c>
      <c r="L42" s="46">
        <v>2750</v>
      </c>
      <c r="M42" s="32">
        <f t="shared" si="4"/>
        <v>12</v>
      </c>
      <c r="N42" s="23">
        <f t="shared" si="3"/>
        <v>33000</v>
      </c>
    </row>
    <row r="43" spans="1:16" x14ac:dyDescent="0.25">
      <c r="A43" s="7">
        <v>9</v>
      </c>
      <c r="B43" s="26" t="s">
        <v>93</v>
      </c>
      <c r="C43" s="2" t="s">
        <v>94</v>
      </c>
      <c r="D43" s="31" t="s">
        <v>21</v>
      </c>
      <c r="E43" s="53">
        <v>110</v>
      </c>
      <c r="F43" s="22">
        <v>0</v>
      </c>
      <c r="G43" s="13">
        <f t="shared" si="0"/>
        <v>0</v>
      </c>
      <c r="H43" s="42">
        <v>1600</v>
      </c>
      <c r="I43" s="13">
        <f t="shared" si="1"/>
        <v>176000</v>
      </c>
      <c r="J43" s="22">
        <v>0</v>
      </c>
      <c r="K43" s="13">
        <f t="shared" si="2"/>
        <v>0</v>
      </c>
      <c r="L43" s="47">
        <v>110</v>
      </c>
      <c r="M43" s="32">
        <f t="shared" si="4"/>
        <v>1600</v>
      </c>
      <c r="N43" s="23">
        <f t="shared" si="3"/>
        <v>176000</v>
      </c>
    </row>
    <row r="44" spans="1:16" x14ac:dyDescent="0.25">
      <c r="A44" s="7">
        <v>9</v>
      </c>
      <c r="B44" s="26" t="s">
        <v>95</v>
      </c>
      <c r="C44" s="2" t="s">
        <v>96</v>
      </c>
      <c r="D44" s="31" t="s">
        <v>21</v>
      </c>
      <c r="E44" s="53">
        <v>117</v>
      </c>
      <c r="F44" s="22">
        <v>0</v>
      </c>
      <c r="G44" s="13">
        <f t="shared" si="0"/>
        <v>0</v>
      </c>
      <c r="H44" s="42">
        <v>0</v>
      </c>
      <c r="I44" s="13">
        <f t="shared" si="1"/>
        <v>0</v>
      </c>
      <c r="J44" s="22">
        <v>470</v>
      </c>
      <c r="K44" s="13">
        <f t="shared" si="2"/>
        <v>54990</v>
      </c>
      <c r="L44" s="47">
        <v>117</v>
      </c>
      <c r="M44" s="32">
        <f t="shared" si="4"/>
        <v>470</v>
      </c>
      <c r="N44" s="23">
        <f t="shared" si="3"/>
        <v>54990</v>
      </c>
    </row>
    <row r="45" spans="1:16" x14ac:dyDescent="0.25">
      <c r="A45" s="7">
        <v>9</v>
      </c>
      <c r="B45" s="26" t="s">
        <v>97</v>
      </c>
      <c r="C45" s="2" t="s">
        <v>98</v>
      </c>
      <c r="D45" s="31" t="s">
        <v>21</v>
      </c>
      <c r="E45" s="53">
        <v>132</v>
      </c>
      <c r="F45" s="22">
        <v>0</v>
      </c>
      <c r="G45" s="13">
        <f t="shared" si="0"/>
        <v>0</v>
      </c>
      <c r="H45" s="42">
        <v>6600</v>
      </c>
      <c r="I45" s="13">
        <f t="shared" si="1"/>
        <v>871200</v>
      </c>
      <c r="J45" s="22">
        <v>2140</v>
      </c>
      <c r="K45" s="13">
        <f t="shared" si="2"/>
        <v>282480</v>
      </c>
      <c r="L45" s="47">
        <v>132</v>
      </c>
      <c r="M45" s="32">
        <f t="shared" si="4"/>
        <v>8740</v>
      </c>
      <c r="N45" s="23">
        <f t="shared" si="3"/>
        <v>1153680</v>
      </c>
      <c r="O45" s="61"/>
      <c r="P45" s="61"/>
    </row>
    <row r="46" spans="1:16" x14ac:dyDescent="0.25">
      <c r="A46" s="7">
        <v>9</v>
      </c>
      <c r="B46" s="26" t="s">
        <v>99</v>
      </c>
      <c r="C46" s="2" t="s">
        <v>100</v>
      </c>
      <c r="D46" s="31" t="s">
        <v>71</v>
      </c>
      <c r="E46" s="52">
        <v>95</v>
      </c>
      <c r="F46" s="42">
        <v>12</v>
      </c>
      <c r="G46" s="41">
        <f t="shared" si="0"/>
        <v>1140</v>
      </c>
      <c r="H46" s="42">
        <v>18</v>
      </c>
      <c r="I46" s="41">
        <f t="shared" si="1"/>
        <v>1710</v>
      </c>
      <c r="J46" s="42">
        <v>6</v>
      </c>
      <c r="K46" s="13">
        <f t="shared" si="2"/>
        <v>570</v>
      </c>
      <c r="L46" s="46">
        <v>95</v>
      </c>
      <c r="M46" s="32">
        <f t="shared" si="4"/>
        <v>36</v>
      </c>
      <c r="N46" s="23">
        <f t="shared" si="3"/>
        <v>3420</v>
      </c>
    </row>
    <row r="47" spans="1:16" x14ac:dyDescent="0.25">
      <c r="A47" s="7">
        <v>8</v>
      </c>
      <c r="B47" s="26" t="s">
        <v>101</v>
      </c>
      <c r="C47" s="2" t="s">
        <v>102</v>
      </c>
      <c r="D47" s="31" t="s">
        <v>16</v>
      </c>
      <c r="E47" s="52">
        <v>110</v>
      </c>
      <c r="F47" s="42">
        <v>4</v>
      </c>
      <c r="G47" s="41">
        <f t="shared" si="0"/>
        <v>440</v>
      </c>
      <c r="H47" s="42">
        <v>4</v>
      </c>
      <c r="I47" s="41">
        <f t="shared" si="1"/>
        <v>440</v>
      </c>
      <c r="J47" s="42">
        <v>4</v>
      </c>
      <c r="K47" s="13">
        <f t="shared" si="2"/>
        <v>440</v>
      </c>
      <c r="L47" s="46">
        <v>110</v>
      </c>
      <c r="M47" s="32">
        <f t="shared" si="4"/>
        <v>12</v>
      </c>
      <c r="N47" s="23">
        <f t="shared" si="3"/>
        <v>1320</v>
      </c>
    </row>
    <row r="48" spans="1:16" x14ac:dyDescent="0.25">
      <c r="A48" s="7">
        <v>7</v>
      </c>
      <c r="B48" s="26" t="s">
        <v>103</v>
      </c>
      <c r="C48" s="2" t="s">
        <v>104</v>
      </c>
      <c r="D48" s="31" t="s">
        <v>105</v>
      </c>
      <c r="E48" s="52">
        <v>55</v>
      </c>
      <c r="F48" s="42">
        <v>11</v>
      </c>
      <c r="G48" s="41">
        <f t="shared" si="0"/>
        <v>605</v>
      </c>
      <c r="H48" s="42">
        <v>12</v>
      </c>
      <c r="I48" s="41">
        <f t="shared" si="1"/>
        <v>660</v>
      </c>
      <c r="J48" s="42">
        <v>130</v>
      </c>
      <c r="K48" s="13">
        <f t="shared" si="2"/>
        <v>7150</v>
      </c>
      <c r="L48" s="46">
        <v>55</v>
      </c>
      <c r="M48" s="32">
        <f t="shared" si="4"/>
        <v>153</v>
      </c>
      <c r="N48" s="23">
        <f t="shared" si="3"/>
        <v>8415</v>
      </c>
    </row>
    <row r="49" spans="1:18" x14ac:dyDescent="0.25">
      <c r="A49" s="7">
        <v>7</v>
      </c>
      <c r="B49" s="26" t="s">
        <v>106</v>
      </c>
      <c r="C49" s="2" t="s">
        <v>107</v>
      </c>
      <c r="D49" s="31" t="s">
        <v>108</v>
      </c>
      <c r="E49" s="52">
        <v>40</v>
      </c>
      <c r="F49" s="42">
        <v>6</v>
      </c>
      <c r="G49" s="41">
        <f t="shared" si="0"/>
        <v>240</v>
      </c>
      <c r="H49" s="42">
        <v>6</v>
      </c>
      <c r="I49" s="41">
        <f t="shared" si="1"/>
        <v>240</v>
      </c>
      <c r="J49" s="42">
        <v>65</v>
      </c>
      <c r="K49" s="13">
        <f t="shared" si="2"/>
        <v>2600</v>
      </c>
      <c r="L49" s="46">
        <v>40</v>
      </c>
      <c r="M49" s="32">
        <f t="shared" si="4"/>
        <v>77</v>
      </c>
      <c r="N49" s="23">
        <f t="shared" si="3"/>
        <v>3080</v>
      </c>
    </row>
    <row r="50" spans="1:18" x14ac:dyDescent="0.25">
      <c r="A50" s="38">
        <v>7</v>
      </c>
      <c r="B50" s="39" t="s">
        <v>109</v>
      </c>
      <c r="C50" s="40" t="s">
        <v>110</v>
      </c>
      <c r="D50" s="37" t="s">
        <v>14</v>
      </c>
      <c r="E50" s="53">
        <v>1</v>
      </c>
      <c r="F50" s="42">
        <v>590</v>
      </c>
      <c r="G50" s="41">
        <f t="shared" si="0"/>
        <v>590</v>
      </c>
      <c r="H50" s="42">
        <v>620</v>
      </c>
      <c r="I50" s="41">
        <f t="shared" si="1"/>
        <v>620</v>
      </c>
      <c r="J50" s="42">
        <v>7200</v>
      </c>
      <c r="K50" s="41">
        <f t="shared" si="2"/>
        <v>7200</v>
      </c>
      <c r="L50" s="47">
        <v>1</v>
      </c>
      <c r="M50" s="33">
        <f t="shared" si="4"/>
        <v>8410</v>
      </c>
      <c r="N50" s="23">
        <f t="shared" si="3"/>
        <v>8410</v>
      </c>
      <c r="O50" t="s">
        <v>183</v>
      </c>
      <c r="P50" t="s">
        <v>183</v>
      </c>
      <c r="Q50" t="s">
        <v>183</v>
      </c>
      <c r="R50" t="s">
        <v>182</v>
      </c>
    </row>
    <row r="51" spans="1:18" x14ac:dyDescent="0.25">
      <c r="A51" s="7">
        <v>10</v>
      </c>
      <c r="B51" s="26" t="s">
        <v>111</v>
      </c>
      <c r="C51" s="2" t="s">
        <v>112</v>
      </c>
      <c r="D51" s="31" t="s">
        <v>10</v>
      </c>
      <c r="E51" s="52">
        <v>1100000</v>
      </c>
      <c r="F51" s="22" t="s">
        <v>11</v>
      </c>
      <c r="G51" s="13">
        <v>75000</v>
      </c>
      <c r="H51" s="22" t="s">
        <v>11</v>
      </c>
      <c r="I51" s="13">
        <v>225000</v>
      </c>
      <c r="J51" s="22" t="s">
        <v>11</v>
      </c>
      <c r="K51" s="13">
        <v>275000</v>
      </c>
      <c r="L51" s="60">
        <v>300000</v>
      </c>
      <c r="M51" s="32" t="s">
        <v>11</v>
      </c>
      <c r="N51" s="23">
        <f t="shared" si="3"/>
        <v>300000</v>
      </c>
      <c r="O51" s="36">
        <f>G51/SUM($G$4:$G$72)</f>
        <v>4.1088521494199969E-2</v>
      </c>
      <c r="P51" s="36">
        <f>I51/SUM($I$4:$I$72)</f>
        <v>4.2809826990077592E-2</v>
      </c>
      <c r="Q51" s="36">
        <f>K51/SUM($K$7:$K$75)</f>
        <v>2.0299354057576248E-2</v>
      </c>
      <c r="R51" s="43">
        <v>0.04</v>
      </c>
    </row>
    <row r="52" spans="1:18" x14ac:dyDescent="0.25">
      <c r="A52" s="7">
        <v>11</v>
      </c>
      <c r="B52" s="26" t="s">
        <v>113</v>
      </c>
      <c r="C52" s="2" t="s">
        <v>114</v>
      </c>
      <c r="D52" s="31" t="s">
        <v>10</v>
      </c>
      <c r="E52" s="52">
        <v>400000</v>
      </c>
      <c r="F52" s="22" t="s">
        <v>11</v>
      </c>
      <c r="G52" s="13">
        <v>15000</v>
      </c>
      <c r="H52" s="22" t="s">
        <v>11</v>
      </c>
      <c r="I52" s="13">
        <v>45000</v>
      </c>
      <c r="J52" s="22" t="s">
        <v>11</v>
      </c>
      <c r="K52" s="13">
        <v>55000</v>
      </c>
      <c r="L52" s="46">
        <v>60000</v>
      </c>
      <c r="M52" s="32" t="s">
        <v>11</v>
      </c>
      <c r="N52" s="23">
        <f t="shared" si="3"/>
        <v>60000</v>
      </c>
      <c r="O52" s="36">
        <f t="shared" ref="O52:O61" si="5">G52/SUM($G$4:$G$72)</f>
        <v>8.2177042988399937E-3</v>
      </c>
      <c r="P52" s="36">
        <f t="shared" ref="P52:P61" si="6">I52/SUM($I$4:$I$72)</f>
        <v>8.5619653980155176E-3</v>
      </c>
      <c r="Q52" s="36">
        <f t="shared" ref="Q52:Q61" si="7">K52/SUM($K$7:$K$75)</f>
        <v>4.0598708115152492E-3</v>
      </c>
      <c r="R52" s="43">
        <v>8.0000000000000002E-3</v>
      </c>
    </row>
    <row r="53" spans="1:18" x14ac:dyDescent="0.25">
      <c r="A53" s="7">
        <v>11</v>
      </c>
      <c r="B53" s="26" t="s">
        <v>115</v>
      </c>
      <c r="C53" s="2" t="s">
        <v>116</v>
      </c>
      <c r="D53" s="31" t="s">
        <v>10</v>
      </c>
      <c r="E53" s="52">
        <v>25000</v>
      </c>
      <c r="F53" s="22" t="s">
        <v>11</v>
      </c>
      <c r="G53" s="13">
        <v>10000</v>
      </c>
      <c r="H53" s="22" t="s">
        <v>11</v>
      </c>
      <c r="I53" s="13">
        <v>10000</v>
      </c>
      <c r="J53" s="22" t="s">
        <v>11</v>
      </c>
      <c r="K53" s="13">
        <v>10000</v>
      </c>
      <c r="L53" s="46">
        <v>10000</v>
      </c>
      <c r="M53" s="32" t="s">
        <v>11</v>
      </c>
      <c r="N53" s="23">
        <f t="shared" si="3"/>
        <v>10000</v>
      </c>
      <c r="O53" s="36">
        <f t="shared" si="5"/>
        <v>5.4784695325599958E-3</v>
      </c>
      <c r="P53" s="36">
        <f t="shared" si="6"/>
        <v>1.9026589773367818E-3</v>
      </c>
      <c r="Q53" s="36">
        <f t="shared" si="7"/>
        <v>7.3815832936640897E-4</v>
      </c>
      <c r="R53" s="43">
        <v>4.0000000000000002E-4</v>
      </c>
    </row>
    <row r="54" spans="1:18" x14ac:dyDescent="0.25">
      <c r="A54" s="7">
        <v>7</v>
      </c>
      <c r="B54" s="26" t="s">
        <v>117</v>
      </c>
      <c r="C54" s="2" t="s">
        <v>118</v>
      </c>
      <c r="D54" s="31" t="s">
        <v>35</v>
      </c>
      <c r="E54" s="52">
        <v>800000</v>
      </c>
      <c r="F54" s="22" t="s">
        <v>11</v>
      </c>
      <c r="G54" s="13">
        <v>30000</v>
      </c>
      <c r="H54" s="22" t="s">
        <v>11</v>
      </c>
      <c r="I54" s="13">
        <v>85000</v>
      </c>
      <c r="J54" s="22" t="s">
        <v>11</v>
      </c>
      <c r="K54" s="13">
        <v>110000</v>
      </c>
      <c r="L54" s="60">
        <v>200000</v>
      </c>
      <c r="M54" s="32" t="s">
        <v>11</v>
      </c>
      <c r="N54" s="23">
        <f t="shared" si="3"/>
        <v>200000</v>
      </c>
      <c r="O54" s="36">
        <f t="shared" si="5"/>
        <v>1.6435408597679987E-2</v>
      </c>
      <c r="P54" s="36">
        <f t="shared" si="6"/>
        <v>1.6172601307362644E-2</v>
      </c>
      <c r="Q54" s="36">
        <f t="shared" si="7"/>
        <v>8.1197416230304985E-3</v>
      </c>
      <c r="R54" s="43">
        <v>1.6E-2</v>
      </c>
    </row>
    <row r="55" spans="1:18" x14ac:dyDescent="0.25">
      <c r="A55" s="7">
        <v>11</v>
      </c>
      <c r="B55" s="26" t="s">
        <v>119</v>
      </c>
      <c r="C55" s="2" t="s">
        <v>120</v>
      </c>
      <c r="D55" s="31" t="s">
        <v>10</v>
      </c>
      <c r="E55" s="52">
        <v>50000</v>
      </c>
      <c r="F55" s="22" t="s">
        <v>11</v>
      </c>
      <c r="G55" s="13">
        <v>10000</v>
      </c>
      <c r="H55" s="22" t="s">
        <v>11</v>
      </c>
      <c r="I55" s="13">
        <v>10000</v>
      </c>
      <c r="J55" s="22" t="s">
        <v>11</v>
      </c>
      <c r="K55" s="13">
        <v>10000</v>
      </c>
      <c r="L55" s="46">
        <v>10000</v>
      </c>
      <c r="M55" s="32" t="s">
        <v>11</v>
      </c>
      <c r="N55" s="23">
        <f t="shared" si="3"/>
        <v>10000</v>
      </c>
      <c r="O55" s="36">
        <f t="shared" si="5"/>
        <v>5.4784695325599958E-3</v>
      </c>
      <c r="P55" s="36">
        <f t="shared" si="6"/>
        <v>1.9026589773367818E-3</v>
      </c>
      <c r="Q55" s="36">
        <f t="shared" si="7"/>
        <v>7.3815832936640897E-4</v>
      </c>
      <c r="R55" s="43">
        <v>1E-3</v>
      </c>
    </row>
    <row r="56" spans="1:18" x14ac:dyDescent="0.25">
      <c r="A56" s="7">
        <v>11</v>
      </c>
      <c r="B56" s="26" t="s">
        <v>121</v>
      </c>
      <c r="C56" s="2" t="s">
        <v>122</v>
      </c>
      <c r="D56" s="31" t="s">
        <v>10</v>
      </c>
      <c r="E56" s="52">
        <v>275000</v>
      </c>
      <c r="F56" s="22" t="s">
        <v>11</v>
      </c>
      <c r="G56" s="13">
        <v>10000</v>
      </c>
      <c r="H56" s="22" t="s">
        <v>11</v>
      </c>
      <c r="I56" s="13">
        <v>30000</v>
      </c>
      <c r="J56" s="22" t="s">
        <v>11</v>
      </c>
      <c r="K56" s="13">
        <v>40000</v>
      </c>
      <c r="L56" s="60">
        <v>60000</v>
      </c>
      <c r="M56" s="32" t="s">
        <v>11</v>
      </c>
      <c r="N56" s="23">
        <f t="shared" si="3"/>
        <v>60000</v>
      </c>
      <c r="O56" s="36">
        <f t="shared" si="5"/>
        <v>5.4784695325599958E-3</v>
      </c>
      <c r="P56" s="36">
        <f t="shared" si="6"/>
        <v>5.7079769320103457E-3</v>
      </c>
      <c r="Q56" s="36">
        <f t="shared" si="7"/>
        <v>2.9526333174656359E-3</v>
      </c>
      <c r="R56" s="43">
        <v>5.4999999999999997E-3</v>
      </c>
    </row>
    <row r="57" spans="1:18" x14ac:dyDescent="0.25">
      <c r="A57" s="7">
        <v>11</v>
      </c>
      <c r="B57" s="26" t="s">
        <v>123</v>
      </c>
      <c r="C57" s="2" t="s">
        <v>124</v>
      </c>
      <c r="D57" s="31" t="s">
        <v>125</v>
      </c>
      <c r="E57" s="52">
        <v>325</v>
      </c>
      <c r="F57" s="22">
        <v>10</v>
      </c>
      <c r="G57" s="13">
        <f t="shared" si="0"/>
        <v>3250</v>
      </c>
      <c r="H57" s="57">
        <v>32.5</v>
      </c>
      <c r="I57" s="13">
        <f t="shared" si="1"/>
        <v>10562.5</v>
      </c>
      <c r="J57" s="22">
        <v>40</v>
      </c>
      <c r="K57" s="13">
        <f t="shared" si="2"/>
        <v>13000</v>
      </c>
      <c r="L57" s="46">
        <v>325</v>
      </c>
      <c r="M57" s="32">
        <f t="shared" si="4"/>
        <v>82.5</v>
      </c>
      <c r="N57" s="23">
        <f t="shared" ref="N57:N66" si="8">IF(M57="All Req'd",L57,M57*L57)</f>
        <v>26812.5</v>
      </c>
    </row>
    <row r="58" spans="1:18" x14ac:dyDescent="0.25">
      <c r="A58" s="7">
        <v>9</v>
      </c>
      <c r="B58" s="26" t="s">
        <v>126</v>
      </c>
      <c r="C58" s="2" t="s">
        <v>127</v>
      </c>
      <c r="D58" s="31" t="s">
        <v>10</v>
      </c>
      <c r="E58" s="52">
        <v>625000</v>
      </c>
      <c r="F58" s="22" t="s">
        <v>11</v>
      </c>
      <c r="G58" s="13">
        <v>25000</v>
      </c>
      <c r="H58" s="22" t="s">
        <v>11</v>
      </c>
      <c r="I58" s="13">
        <v>70000</v>
      </c>
      <c r="J58" s="22" t="s">
        <v>11</v>
      </c>
      <c r="K58" s="13">
        <v>90000</v>
      </c>
      <c r="L58" s="46">
        <v>100000</v>
      </c>
      <c r="M58" s="32" t="s">
        <v>11</v>
      </c>
      <c r="N58" s="23">
        <f t="shared" si="8"/>
        <v>100000</v>
      </c>
      <c r="O58" s="36">
        <f t="shared" si="5"/>
        <v>1.369617383139999E-2</v>
      </c>
      <c r="P58" s="36">
        <f t="shared" si="6"/>
        <v>1.3318612841357472E-2</v>
      </c>
      <c r="Q58" s="36">
        <f t="shared" si="7"/>
        <v>6.643424964297681E-3</v>
      </c>
      <c r="R58" s="43">
        <v>1.2500000000000001E-2</v>
      </c>
    </row>
    <row r="59" spans="1:18" x14ac:dyDescent="0.25">
      <c r="A59" s="7">
        <v>9</v>
      </c>
      <c r="B59" s="26" t="s">
        <v>128</v>
      </c>
      <c r="C59" s="2" t="s">
        <v>129</v>
      </c>
      <c r="D59" s="31" t="s">
        <v>10</v>
      </c>
      <c r="E59" s="52">
        <v>100000</v>
      </c>
      <c r="F59" s="22" t="s">
        <v>11</v>
      </c>
      <c r="G59" s="13">
        <v>5000</v>
      </c>
      <c r="H59" s="22" t="s">
        <v>11</v>
      </c>
      <c r="I59" s="13">
        <v>12000</v>
      </c>
      <c r="J59" s="22" t="s">
        <v>11</v>
      </c>
      <c r="K59" s="13">
        <v>15000</v>
      </c>
      <c r="L59" s="60">
        <v>15000</v>
      </c>
      <c r="M59" s="32" t="s">
        <v>11</v>
      </c>
      <c r="N59" s="23">
        <f t="shared" si="8"/>
        <v>15000</v>
      </c>
      <c r="O59" s="36">
        <f t="shared" si="5"/>
        <v>2.7392347662799979E-3</v>
      </c>
      <c r="P59" s="36">
        <f t="shared" si="6"/>
        <v>2.283190772804138E-3</v>
      </c>
      <c r="Q59" s="36">
        <f t="shared" si="7"/>
        <v>1.1072374940496136E-3</v>
      </c>
      <c r="R59" s="43">
        <v>2E-3</v>
      </c>
    </row>
    <row r="60" spans="1:18" x14ac:dyDescent="0.25">
      <c r="A60" s="7">
        <v>9</v>
      </c>
      <c r="B60" s="26" t="s">
        <v>130</v>
      </c>
      <c r="C60" s="2" t="s">
        <v>131</v>
      </c>
      <c r="D60" s="31" t="s">
        <v>35</v>
      </c>
      <c r="E60" s="52">
        <v>1500000</v>
      </c>
      <c r="F60" s="22" t="s">
        <v>11</v>
      </c>
      <c r="G60" s="13">
        <v>55000</v>
      </c>
      <c r="H60" s="22" t="s">
        <v>11</v>
      </c>
      <c r="I60" s="13">
        <v>160000</v>
      </c>
      <c r="J60" s="22" t="s">
        <v>11</v>
      </c>
      <c r="K60" s="13">
        <v>200000</v>
      </c>
      <c r="L60" s="46">
        <v>250000</v>
      </c>
      <c r="M60" s="32" t="s">
        <v>11</v>
      </c>
      <c r="N60" s="23">
        <f t="shared" si="8"/>
        <v>250000</v>
      </c>
      <c r="O60" s="36">
        <f t="shared" si="5"/>
        <v>3.0131582429079977E-2</v>
      </c>
      <c r="P60" s="36">
        <f t="shared" si="6"/>
        <v>3.0442543637388509E-2</v>
      </c>
      <c r="Q60" s="36">
        <f t="shared" si="7"/>
        <v>1.476316658732818E-2</v>
      </c>
      <c r="R60" s="43">
        <v>0.03</v>
      </c>
    </row>
    <row r="61" spans="1:18" x14ac:dyDescent="0.25">
      <c r="A61" s="7">
        <v>9</v>
      </c>
      <c r="B61" s="26" t="s">
        <v>132</v>
      </c>
      <c r="C61" s="2" t="s">
        <v>133</v>
      </c>
      <c r="D61" s="31" t="s">
        <v>35</v>
      </c>
      <c r="E61" s="52">
        <v>1600000</v>
      </c>
      <c r="F61" s="22" t="s">
        <v>11</v>
      </c>
      <c r="G61" s="13">
        <v>60000</v>
      </c>
      <c r="H61" s="22" t="s">
        <v>11</v>
      </c>
      <c r="I61" s="13">
        <v>170000</v>
      </c>
      <c r="J61" s="22" t="s">
        <v>11</v>
      </c>
      <c r="K61" s="13">
        <v>215000</v>
      </c>
      <c r="L61" s="46">
        <v>250000</v>
      </c>
      <c r="M61" s="32" t="s">
        <v>11</v>
      </c>
      <c r="N61" s="23">
        <f t="shared" si="8"/>
        <v>250000</v>
      </c>
      <c r="O61" s="36">
        <f t="shared" si="5"/>
        <v>3.2870817195359975E-2</v>
      </c>
      <c r="P61" s="36">
        <f t="shared" si="6"/>
        <v>3.2345202614725288E-2</v>
      </c>
      <c r="Q61" s="36">
        <f t="shared" si="7"/>
        <v>1.5870404081377795E-2</v>
      </c>
      <c r="R61" s="43">
        <v>3.2000000000000001E-2</v>
      </c>
    </row>
    <row r="62" spans="1:18" x14ac:dyDescent="0.25">
      <c r="A62" s="7">
        <v>11</v>
      </c>
      <c r="B62" s="26" t="s">
        <v>134</v>
      </c>
      <c r="C62" s="2" t="s">
        <v>135</v>
      </c>
      <c r="D62" s="31" t="s">
        <v>10</v>
      </c>
      <c r="E62" s="52">
        <v>100000</v>
      </c>
      <c r="F62" s="22" t="s">
        <v>11</v>
      </c>
      <c r="G62" s="13">
        <f t="shared" si="0"/>
        <v>100000</v>
      </c>
      <c r="H62" s="22" t="s">
        <v>11</v>
      </c>
      <c r="I62" s="13">
        <f t="shared" si="1"/>
        <v>100000</v>
      </c>
      <c r="J62" s="22" t="s">
        <v>11</v>
      </c>
      <c r="K62" s="13">
        <f t="shared" si="2"/>
        <v>100000</v>
      </c>
      <c r="L62" s="46">
        <v>100000</v>
      </c>
      <c r="M62" s="32" t="s">
        <v>11</v>
      </c>
      <c r="N62" s="23">
        <f t="shared" si="8"/>
        <v>100000</v>
      </c>
    </row>
    <row r="63" spans="1:18" x14ac:dyDescent="0.25">
      <c r="A63" s="7">
        <v>10</v>
      </c>
      <c r="B63" s="26" t="s">
        <v>136</v>
      </c>
      <c r="C63" s="2" t="s">
        <v>137</v>
      </c>
      <c r="D63" s="31" t="s">
        <v>10</v>
      </c>
      <c r="E63" s="52">
        <v>40000</v>
      </c>
      <c r="F63" s="22" t="s">
        <v>11</v>
      </c>
      <c r="G63" s="13">
        <f t="shared" si="0"/>
        <v>40000</v>
      </c>
      <c r="H63" s="22" t="s">
        <v>11</v>
      </c>
      <c r="I63" s="13">
        <f t="shared" si="1"/>
        <v>40000</v>
      </c>
      <c r="J63" s="22" t="s">
        <v>11</v>
      </c>
      <c r="K63" s="13">
        <f t="shared" si="2"/>
        <v>40000</v>
      </c>
      <c r="L63" s="46">
        <v>40000</v>
      </c>
      <c r="M63" s="32" t="s">
        <v>11</v>
      </c>
      <c r="N63" s="23">
        <f t="shared" si="8"/>
        <v>40000</v>
      </c>
    </row>
    <row r="64" spans="1:18" x14ac:dyDescent="0.25">
      <c r="A64" s="7">
        <v>10</v>
      </c>
      <c r="B64" s="26" t="s">
        <v>138</v>
      </c>
      <c r="C64" s="2" t="s">
        <v>139</v>
      </c>
      <c r="D64" s="31" t="s">
        <v>10</v>
      </c>
      <c r="E64" s="52">
        <v>7000</v>
      </c>
      <c r="F64" s="22" t="s">
        <v>11</v>
      </c>
      <c r="G64" s="13">
        <f t="shared" si="0"/>
        <v>7000</v>
      </c>
      <c r="H64" s="22" t="s">
        <v>11</v>
      </c>
      <c r="I64" s="13">
        <f t="shared" si="1"/>
        <v>7000</v>
      </c>
      <c r="J64" s="22" t="s">
        <v>11</v>
      </c>
      <c r="K64" s="13">
        <f t="shared" si="2"/>
        <v>7000</v>
      </c>
      <c r="L64" s="46">
        <v>7000</v>
      </c>
      <c r="M64" s="32" t="s">
        <v>11</v>
      </c>
      <c r="N64" s="23">
        <f t="shared" si="8"/>
        <v>7000</v>
      </c>
    </row>
    <row r="65" spans="1:18" x14ac:dyDescent="0.25">
      <c r="A65" s="7">
        <v>10</v>
      </c>
      <c r="B65" s="26" t="s">
        <v>140</v>
      </c>
      <c r="C65" s="2" t="s">
        <v>141</v>
      </c>
      <c r="D65" s="31" t="s">
        <v>10</v>
      </c>
      <c r="E65" s="52">
        <v>6000</v>
      </c>
      <c r="F65" s="22" t="s">
        <v>11</v>
      </c>
      <c r="G65" s="13">
        <f t="shared" si="0"/>
        <v>6000</v>
      </c>
      <c r="H65" s="22" t="s">
        <v>11</v>
      </c>
      <c r="I65" s="13">
        <f t="shared" si="1"/>
        <v>6000</v>
      </c>
      <c r="J65" s="22" t="s">
        <v>11</v>
      </c>
      <c r="K65" s="13">
        <f t="shared" si="2"/>
        <v>6000</v>
      </c>
      <c r="L65" s="46">
        <v>6000</v>
      </c>
      <c r="M65" s="32" t="s">
        <v>11</v>
      </c>
      <c r="N65" s="23">
        <f t="shared" si="8"/>
        <v>6000</v>
      </c>
    </row>
    <row r="66" spans="1:18" x14ac:dyDescent="0.25">
      <c r="A66" s="7">
        <v>11</v>
      </c>
      <c r="B66" s="26" t="s">
        <v>142</v>
      </c>
      <c r="C66" s="2" t="s">
        <v>143</v>
      </c>
      <c r="D66" s="31" t="s">
        <v>35</v>
      </c>
      <c r="E66" s="52">
        <v>25000</v>
      </c>
      <c r="F66" s="22" t="s">
        <v>11</v>
      </c>
      <c r="G66" s="13">
        <v>5000</v>
      </c>
      <c r="H66" s="22" t="s">
        <v>11</v>
      </c>
      <c r="I66" s="13">
        <v>5000</v>
      </c>
      <c r="J66" s="22" t="s">
        <v>11</v>
      </c>
      <c r="K66" s="13">
        <v>5000</v>
      </c>
      <c r="L66" s="46">
        <v>5000</v>
      </c>
      <c r="M66" s="32" t="s">
        <v>11</v>
      </c>
      <c r="N66" s="23">
        <f t="shared" si="8"/>
        <v>5000</v>
      </c>
      <c r="O66" s="36">
        <f t="shared" ref="O66" si="9">G66/SUM($G$4:$G$72)</f>
        <v>2.7392347662799979E-3</v>
      </c>
      <c r="P66" s="36">
        <f t="shared" ref="P66" si="10">I66/SUM($I$4:$I$72)</f>
        <v>9.5132948866839091E-4</v>
      </c>
      <c r="Q66" s="36">
        <f t="shared" ref="Q66" si="11">K66/SUM($K$7:$K$75)</f>
        <v>3.6907916468320449E-4</v>
      </c>
      <c r="R66" s="43">
        <v>4.0000000000000002E-4</v>
      </c>
    </row>
    <row r="67" spans="1:18" x14ac:dyDescent="0.25">
      <c r="A67" s="7">
        <v>11</v>
      </c>
      <c r="B67" s="26" t="s">
        <v>144</v>
      </c>
      <c r="C67" s="2" t="s">
        <v>145</v>
      </c>
      <c r="D67" s="31" t="s">
        <v>125</v>
      </c>
      <c r="E67" s="52">
        <v>10</v>
      </c>
      <c r="F67" s="42">
        <v>200</v>
      </c>
      <c r="G67" s="41">
        <f t="shared" si="0"/>
        <v>2000</v>
      </c>
      <c r="H67" s="42">
        <v>200</v>
      </c>
      <c r="I67" s="41">
        <f t="shared" si="1"/>
        <v>2000</v>
      </c>
      <c r="J67" s="42">
        <v>500</v>
      </c>
      <c r="K67" s="13">
        <f t="shared" si="2"/>
        <v>5000</v>
      </c>
      <c r="L67" s="46">
        <v>10</v>
      </c>
      <c r="M67" s="32">
        <f t="shared" si="4"/>
        <v>900</v>
      </c>
      <c r="N67" s="23">
        <f t="shared" ref="N67:N73" si="12">IF(M67="All Req'd",L67,M67*L67)</f>
        <v>9000</v>
      </c>
    </row>
    <row r="68" spans="1:18" x14ac:dyDescent="0.25">
      <c r="A68" s="7">
        <v>11</v>
      </c>
      <c r="B68" s="26" t="s">
        <v>146</v>
      </c>
      <c r="C68" s="2" t="s">
        <v>147</v>
      </c>
      <c r="D68" s="31" t="s">
        <v>10</v>
      </c>
      <c r="E68" s="52">
        <v>6500</v>
      </c>
      <c r="F68" s="22" t="s">
        <v>11</v>
      </c>
      <c r="G68" s="13">
        <f t="shared" si="0"/>
        <v>6500</v>
      </c>
      <c r="H68" s="22" t="s">
        <v>11</v>
      </c>
      <c r="I68" s="13">
        <f t="shared" si="1"/>
        <v>6500</v>
      </c>
      <c r="J68" s="22" t="s">
        <v>11</v>
      </c>
      <c r="K68" s="13">
        <f t="shared" si="2"/>
        <v>6500</v>
      </c>
      <c r="L68" s="46">
        <v>6500</v>
      </c>
      <c r="M68" s="32" t="s">
        <v>11</v>
      </c>
      <c r="N68" s="23">
        <f t="shared" si="12"/>
        <v>6500</v>
      </c>
    </row>
    <row r="69" spans="1:18" x14ac:dyDescent="0.25">
      <c r="A69" s="7">
        <v>10</v>
      </c>
      <c r="B69" s="26" t="s">
        <v>148</v>
      </c>
      <c r="C69" s="2" t="s">
        <v>149</v>
      </c>
      <c r="D69" s="31" t="s">
        <v>35</v>
      </c>
      <c r="E69" s="52">
        <v>150000</v>
      </c>
      <c r="F69" s="22" t="s">
        <v>11</v>
      </c>
      <c r="G69" s="13">
        <v>10000</v>
      </c>
      <c r="H69" s="22" t="s">
        <v>11</v>
      </c>
      <c r="I69" s="13">
        <v>10000</v>
      </c>
      <c r="J69" s="22" t="s">
        <v>11</v>
      </c>
      <c r="K69" s="13">
        <v>30000</v>
      </c>
      <c r="L69" s="60">
        <v>40000</v>
      </c>
      <c r="M69" s="32" t="s">
        <v>11</v>
      </c>
      <c r="N69" s="23">
        <f t="shared" si="12"/>
        <v>40000</v>
      </c>
    </row>
    <row r="70" spans="1:18" x14ac:dyDescent="0.25">
      <c r="A70" s="7">
        <v>11</v>
      </c>
      <c r="B70" s="26" t="s">
        <v>150</v>
      </c>
      <c r="C70" s="2" t="s">
        <v>151</v>
      </c>
      <c r="D70" s="31" t="s">
        <v>35</v>
      </c>
      <c r="E70" s="52">
        <v>8500</v>
      </c>
      <c r="F70" s="22" t="s">
        <v>11</v>
      </c>
      <c r="G70" s="13">
        <f t="shared" ref="G70:G72" si="13">IF(F70="All Req'd",E70,F70*E70)</f>
        <v>8500</v>
      </c>
      <c r="H70" s="22" t="s">
        <v>11</v>
      </c>
      <c r="I70" s="13">
        <f t="shared" ref="I70:I72" si="14">IF(H70="All Req'd",E70,H70*E70)</f>
        <v>8500</v>
      </c>
      <c r="J70" s="22" t="s">
        <v>11</v>
      </c>
      <c r="K70" s="13">
        <f t="shared" ref="K70:K72" si="15">IF(J70="All Req'd",E70,J70*E70)</f>
        <v>8500</v>
      </c>
      <c r="L70" s="46">
        <v>8500</v>
      </c>
      <c r="M70" s="32" t="s">
        <v>11</v>
      </c>
      <c r="N70" s="23">
        <f t="shared" si="12"/>
        <v>8500</v>
      </c>
    </row>
    <row r="71" spans="1:18" x14ac:dyDescent="0.25">
      <c r="A71" s="7">
        <v>9</v>
      </c>
      <c r="B71" s="26" t="s">
        <v>152</v>
      </c>
      <c r="C71" s="2" t="s">
        <v>153</v>
      </c>
      <c r="D71" s="31" t="s">
        <v>184</v>
      </c>
      <c r="E71" s="52">
        <v>94</v>
      </c>
      <c r="F71" s="55">
        <v>22.4</v>
      </c>
      <c r="G71" s="41">
        <f t="shared" si="13"/>
        <v>2105.6</v>
      </c>
      <c r="H71" s="55">
        <v>56.1</v>
      </c>
      <c r="I71" s="41">
        <f t="shared" si="14"/>
        <v>5273.4000000000005</v>
      </c>
      <c r="J71" s="55">
        <v>112.2</v>
      </c>
      <c r="K71" s="13">
        <f t="shared" si="15"/>
        <v>10546.800000000001</v>
      </c>
      <c r="L71" s="46">
        <v>94</v>
      </c>
      <c r="M71" s="32">
        <f>SUM(F71,H71,J71)</f>
        <v>190.7</v>
      </c>
      <c r="N71" s="23">
        <f t="shared" si="12"/>
        <v>17925.8</v>
      </c>
    </row>
    <row r="72" spans="1:18" x14ac:dyDescent="0.25">
      <c r="A72" s="7">
        <v>10</v>
      </c>
      <c r="B72" s="26" t="s">
        <v>154</v>
      </c>
      <c r="C72" s="2" t="s">
        <v>155</v>
      </c>
      <c r="D72" s="31" t="s">
        <v>35</v>
      </c>
      <c r="E72" s="52">
        <v>20000</v>
      </c>
      <c r="F72" s="22" t="s">
        <v>11</v>
      </c>
      <c r="G72" s="13">
        <f t="shared" si="13"/>
        <v>20000</v>
      </c>
      <c r="H72" s="22" t="s">
        <v>11</v>
      </c>
      <c r="I72" s="13">
        <f t="shared" si="14"/>
        <v>20000</v>
      </c>
      <c r="J72" s="22" t="s">
        <v>11</v>
      </c>
      <c r="K72" s="13">
        <f t="shared" si="15"/>
        <v>20000</v>
      </c>
      <c r="L72" s="46">
        <v>20000</v>
      </c>
      <c r="M72" s="32" t="s">
        <v>11</v>
      </c>
      <c r="N72" s="23">
        <f t="shared" si="12"/>
        <v>20000</v>
      </c>
    </row>
    <row r="73" spans="1:18" ht="15.75" thickBot="1" x14ac:dyDescent="0.3">
      <c r="A73" s="19">
        <v>13</v>
      </c>
      <c r="B73" s="27" t="s">
        <v>174</v>
      </c>
      <c r="C73" s="20" t="s">
        <v>175</v>
      </c>
      <c r="D73" s="34" t="s">
        <v>10</v>
      </c>
      <c r="E73" s="58">
        <v>1200000</v>
      </c>
      <c r="F73" s="56" t="s">
        <v>11</v>
      </c>
      <c r="G73" s="14">
        <f>IF(F73="All Req'd",E73,F73*E73)*0.2</f>
        <v>240000</v>
      </c>
      <c r="H73" s="56" t="s">
        <v>11</v>
      </c>
      <c r="I73" s="14">
        <f>IF(H73="All Req'd",E73,H73*E73)*0.2</f>
        <v>240000</v>
      </c>
      <c r="J73" s="56" t="s">
        <v>11</v>
      </c>
      <c r="K73" s="14">
        <f>IF(J73="All Req'd",E73,J73*E73)*0.6</f>
        <v>720000</v>
      </c>
      <c r="L73" s="48">
        <v>1200000</v>
      </c>
      <c r="M73" s="49" t="s">
        <v>11</v>
      </c>
      <c r="N73" s="24">
        <f t="shared" si="12"/>
        <v>1200000</v>
      </c>
    </row>
    <row r="75" spans="1:18" x14ac:dyDescent="0.25">
      <c r="C75" t="s">
        <v>191</v>
      </c>
      <c r="G75" s="61">
        <f>SUM(G4:G74)</f>
        <v>2065327.3</v>
      </c>
      <c r="I75" s="61">
        <f>SUM(I4:I74)</f>
        <v>5495802.6000000006</v>
      </c>
      <c r="K75" s="61">
        <f>SUM(K4:K74)</f>
        <v>6873204.5499999998</v>
      </c>
      <c r="N75" s="61">
        <f>SUM(N4:N74)</f>
        <v>13205664.050000001</v>
      </c>
    </row>
  </sheetData>
  <mergeCells count="5">
    <mergeCell ref="H1:I1"/>
    <mergeCell ref="J1:K1"/>
    <mergeCell ref="F1:G1"/>
    <mergeCell ref="A3:N3"/>
    <mergeCell ref="L1:N1"/>
  </mergeCells>
  <pageMargins left="0.7" right="0.7" top="0.75" bottom="0.75" header="0.3" footer="0.3"/>
  <pageSetup paperSize="3" scale="64" fitToHeight="0" orientation="landscape" r:id="rId1"/>
  <ignoredErrors>
    <ignoredError sqref="P51:P56 G16 I16 K16 N57 N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B3" sqref="B3"/>
    </sheetView>
  </sheetViews>
  <sheetFormatPr defaultRowHeight="15" x14ac:dyDescent="0.25"/>
  <cols>
    <col min="2" max="2" width="45.28515625" bestFit="1" customWidth="1"/>
    <col min="3" max="3" width="14.28515625" bestFit="1" customWidth="1"/>
    <col min="4" max="4" width="19.28515625" hidden="1" customWidth="1"/>
    <col min="5" max="5" width="26.7109375" hidden="1" customWidth="1"/>
    <col min="6" max="6" width="17.85546875" customWidth="1"/>
  </cols>
  <sheetData>
    <row r="1" spans="2:5" ht="15.75" thickBot="1" x14ac:dyDescent="0.3"/>
    <row r="2" spans="2:5" ht="15.75" thickBot="1" x14ac:dyDescent="0.3">
      <c r="B2" s="82" t="s">
        <v>205</v>
      </c>
      <c r="C2" s="83"/>
      <c r="D2" s="62"/>
    </row>
    <row r="3" spans="2:5" ht="15.75" thickBot="1" x14ac:dyDescent="0.3">
      <c r="B3" s="11" t="s">
        <v>157</v>
      </c>
      <c r="C3" s="5" t="s">
        <v>158</v>
      </c>
      <c r="D3" s="63" t="s">
        <v>192</v>
      </c>
      <c r="E3" t="s">
        <v>193</v>
      </c>
    </row>
    <row r="4" spans="2:5" x14ac:dyDescent="0.25">
      <c r="B4" s="10" t="s">
        <v>159</v>
      </c>
      <c r="C4" s="12">
        <v>50000</v>
      </c>
      <c r="D4" s="64"/>
      <c r="E4" s="61">
        <f>C4</f>
        <v>50000</v>
      </c>
    </row>
    <row r="5" spans="2:5" x14ac:dyDescent="0.25">
      <c r="B5" s="8" t="s">
        <v>201</v>
      </c>
      <c r="C5" s="13">
        <v>25000</v>
      </c>
      <c r="D5" s="64"/>
      <c r="E5" s="61">
        <f t="shared" ref="E5:E9" si="0">C5</f>
        <v>25000</v>
      </c>
    </row>
    <row r="6" spans="2:5" x14ac:dyDescent="0.25">
      <c r="B6" s="8" t="s">
        <v>160</v>
      </c>
      <c r="C6" s="13">
        <v>0</v>
      </c>
      <c r="D6" s="64"/>
      <c r="E6" s="61">
        <f t="shared" si="0"/>
        <v>0</v>
      </c>
    </row>
    <row r="7" spans="2:5" x14ac:dyDescent="0.25">
      <c r="B7" s="8" t="s">
        <v>161</v>
      </c>
      <c r="C7" s="13">
        <v>400000</v>
      </c>
      <c r="D7" s="64"/>
      <c r="E7" s="61">
        <f t="shared" si="0"/>
        <v>400000</v>
      </c>
    </row>
    <row r="8" spans="2:5" x14ac:dyDescent="0.25">
      <c r="B8" s="8" t="s">
        <v>162</v>
      </c>
      <c r="C8" s="13">
        <f>SUMIF('Estimate Breakdown'!A4:A73, 5,'Estimate Breakdown'!G4:G73)+150000</f>
        <v>150000</v>
      </c>
      <c r="D8" s="64"/>
      <c r="E8" s="61">
        <f t="shared" si="0"/>
        <v>150000</v>
      </c>
    </row>
    <row r="9" spans="2:5" x14ac:dyDescent="0.25">
      <c r="B9" s="8" t="s">
        <v>163</v>
      </c>
      <c r="C9" s="13">
        <f>0.2*SUM(C10:C14)</f>
        <v>365065.46</v>
      </c>
      <c r="D9" s="64"/>
      <c r="E9" s="61">
        <f t="shared" si="0"/>
        <v>365065.46</v>
      </c>
    </row>
    <row r="10" spans="2:5" x14ac:dyDescent="0.25">
      <c r="B10" s="8" t="s">
        <v>164</v>
      </c>
      <c r="C10" s="13">
        <f>SUMIF('Estimate Breakdown'!A4:A73, 7,'Estimate Breakdown'!G4:G73)</f>
        <v>158655</v>
      </c>
      <c r="D10" s="64">
        <f>C10</f>
        <v>158655</v>
      </c>
    </row>
    <row r="11" spans="2:5" x14ac:dyDescent="0.25">
      <c r="B11" s="8" t="s">
        <v>165</v>
      </c>
      <c r="C11" s="13">
        <f>SUMIF('Estimate Breakdown'!A4:A73, 8,'Estimate Breakdown'!G4:G73)</f>
        <v>3440</v>
      </c>
      <c r="D11" s="64">
        <f>C11</f>
        <v>3440</v>
      </c>
    </row>
    <row r="12" spans="2:5" x14ac:dyDescent="0.25">
      <c r="B12" s="8" t="s">
        <v>166</v>
      </c>
      <c r="C12" s="13">
        <f>SUMIF('Estimate Breakdown'!A4:A73, 9,'Estimate Breakdown'!G4:G73)</f>
        <v>1334982.3</v>
      </c>
      <c r="D12" s="64">
        <f>C12</f>
        <v>1334982.3</v>
      </c>
    </row>
    <row r="13" spans="2:5" x14ac:dyDescent="0.25">
      <c r="B13" s="8" t="s">
        <v>167</v>
      </c>
      <c r="C13" s="13">
        <f>SUMIF('Estimate Breakdown'!A4:A73, 10,'Estimate Breakdown'!G4:G73)</f>
        <v>158000</v>
      </c>
      <c r="D13" s="64">
        <f t="shared" ref="D13:D16" si="1">C13</f>
        <v>158000</v>
      </c>
    </row>
    <row r="14" spans="2:5" x14ac:dyDescent="0.25">
      <c r="B14" s="8" t="s">
        <v>168</v>
      </c>
      <c r="C14" s="13">
        <f>SUMIF('Estimate Breakdown'!A4:A73, 11,'Estimate Breakdown'!G4:G73)</f>
        <v>170250</v>
      </c>
      <c r="D14" s="64">
        <f t="shared" si="1"/>
        <v>170250</v>
      </c>
    </row>
    <row r="15" spans="2:5" x14ac:dyDescent="0.25">
      <c r="B15" s="8" t="s">
        <v>169</v>
      </c>
      <c r="C15" s="13">
        <f>SUM(C4:C14)</f>
        <v>2815392.76</v>
      </c>
      <c r="D15" s="64"/>
    </row>
    <row r="16" spans="2:5" x14ac:dyDescent="0.25">
      <c r="B16" s="8" t="s">
        <v>170</v>
      </c>
      <c r="C16" s="13">
        <f>SUMIF('Estimate Breakdown'!A4:A73, 13,'Estimate Breakdown'!G4:G73)</f>
        <v>240000</v>
      </c>
      <c r="D16" s="64">
        <f t="shared" si="1"/>
        <v>240000</v>
      </c>
    </row>
    <row r="17" spans="2:6" x14ac:dyDescent="0.25">
      <c r="B17" s="8" t="s">
        <v>171</v>
      </c>
      <c r="C17" s="13">
        <f>C15+C16</f>
        <v>3055392.76</v>
      </c>
      <c r="D17" s="64"/>
    </row>
    <row r="18" spans="2:6" x14ac:dyDescent="0.25">
      <c r="B18" s="8" t="s">
        <v>172</v>
      </c>
      <c r="C18" s="13">
        <v>0</v>
      </c>
      <c r="D18" s="64"/>
    </row>
    <row r="19" spans="2:6" ht="15.75" thickBot="1" x14ac:dyDescent="0.3">
      <c r="B19" s="9" t="s">
        <v>173</v>
      </c>
      <c r="C19" s="15">
        <f>C17-C18</f>
        <v>3055392.76</v>
      </c>
      <c r="D19" s="65">
        <f>SUM(D4:D18)</f>
        <v>2065327.3</v>
      </c>
      <c r="E19" s="61">
        <f>SUM(E4:E18)</f>
        <v>990065.46</v>
      </c>
      <c r="F19" s="6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6" sqref="B6"/>
    </sheetView>
  </sheetViews>
  <sheetFormatPr defaultRowHeight="15" x14ac:dyDescent="0.25"/>
  <cols>
    <col min="2" max="2" width="45.28515625" bestFit="1" customWidth="1"/>
    <col min="3" max="3" width="15.28515625" bestFit="1" customWidth="1"/>
    <col min="4" max="5" width="15" hidden="1" customWidth="1"/>
  </cols>
  <sheetData>
    <row r="1" spans="2:5" ht="15.75" thickBot="1" x14ac:dyDescent="0.3"/>
    <row r="2" spans="2:5" ht="15.75" thickBot="1" x14ac:dyDescent="0.3">
      <c r="B2" s="84" t="s">
        <v>204</v>
      </c>
      <c r="C2" s="85"/>
    </row>
    <row r="3" spans="2:5" ht="15.75" thickBot="1" x14ac:dyDescent="0.3">
      <c r="B3" s="11" t="s">
        <v>157</v>
      </c>
      <c r="C3" s="5" t="s">
        <v>158</v>
      </c>
      <c r="D3" s="63" t="s">
        <v>192</v>
      </c>
      <c r="E3" t="s">
        <v>193</v>
      </c>
    </row>
    <row r="4" spans="2:5" x14ac:dyDescent="0.25">
      <c r="B4" s="10" t="s">
        <v>159</v>
      </c>
      <c r="C4" s="12">
        <v>100000</v>
      </c>
      <c r="D4" s="64"/>
      <c r="E4" s="61">
        <f>C4</f>
        <v>100000</v>
      </c>
    </row>
    <row r="5" spans="2:5" x14ac:dyDescent="0.25">
      <c r="B5" s="8" t="s">
        <v>201</v>
      </c>
      <c r="C5" s="13">
        <v>25000</v>
      </c>
      <c r="D5" s="64"/>
      <c r="E5" s="61">
        <f t="shared" ref="E5:E9" si="0">C5</f>
        <v>25000</v>
      </c>
    </row>
    <row r="6" spans="2:5" x14ac:dyDescent="0.25">
      <c r="B6" s="8" t="s">
        <v>160</v>
      </c>
      <c r="C6" s="13">
        <v>0</v>
      </c>
      <c r="D6" s="64"/>
      <c r="E6" s="61">
        <f t="shared" si="0"/>
        <v>0</v>
      </c>
    </row>
    <row r="7" spans="2:5" x14ac:dyDescent="0.25">
      <c r="B7" s="8" t="s">
        <v>161</v>
      </c>
      <c r="C7" s="13">
        <v>600000</v>
      </c>
      <c r="D7" s="64"/>
      <c r="E7" s="61">
        <f t="shared" si="0"/>
        <v>600000</v>
      </c>
    </row>
    <row r="8" spans="2:5" x14ac:dyDescent="0.25">
      <c r="B8" s="8" t="s">
        <v>162</v>
      </c>
      <c r="C8" s="13">
        <f>SUMIF('Estimate Breakdown'!A4:A73, 5,'Estimate Breakdown'!I4:I73)+350000</f>
        <v>350000</v>
      </c>
      <c r="D8" s="64"/>
      <c r="E8" s="61">
        <f t="shared" si="0"/>
        <v>350000</v>
      </c>
    </row>
    <row r="9" spans="2:5" x14ac:dyDescent="0.25">
      <c r="B9" s="8" t="s">
        <v>163</v>
      </c>
      <c r="C9" s="13">
        <f>0.2*SUM(C10:C14)</f>
        <v>1051160.5200000003</v>
      </c>
      <c r="D9" s="64"/>
      <c r="E9" s="61">
        <f t="shared" si="0"/>
        <v>1051160.5200000003</v>
      </c>
    </row>
    <row r="10" spans="2:5" x14ac:dyDescent="0.25">
      <c r="B10" s="8" t="s">
        <v>164</v>
      </c>
      <c r="C10" s="13">
        <f>SUMIF('Estimate Breakdown'!A4:A73, 7,'Estimate Breakdown'!I4:I73)</f>
        <v>89640</v>
      </c>
      <c r="D10" s="64">
        <f>C10</f>
        <v>89640</v>
      </c>
    </row>
    <row r="11" spans="2:5" x14ac:dyDescent="0.25">
      <c r="B11" s="8" t="s">
        <v>165</v>
      </c>
      <c r="C11" s="13">
        <f>SUMIF('Estimate Breakdown'!A4:A73, 8,'Estimate Breakdown'!I4:I73)</f>
        <v>3505</v>
      </c>
      <c r="D11" s="64">
        <f>C11</f>
        <v>3505</v>
      </c>
    </row>
    <row r="12" spans="2:5" x14ac:dyDescent="0.25">
      <c r="B12" s="8" t="s">
        <v>166</v>
      </c>
      <c r="C12" s="13">
        <f>SUMIF('Estimate Breakdown'!A4:A73, 9,'Estimate Breakdown'!I4:I73)</f>
        <v>4627095.1000000006</v>
      </c>
      <c r="D12" s="64">
        <f>C12</f>
        <v>4627095.1000000006</v>
      </c>
    </row>
    <row r="13" spans="2:5" x14ac:dyDescent="0.25">
      <c r="B13" s="8" t="s">
        <v>167</v>
      </c>
      <c r="C13" s="13">
        <f>SUMIF('Estimate Breakdown'!A4:A73, 10,'Estimate Breakdown'!I4:I73)</f>
        <v>308000</v>
      </c>
      <c r="D13" s="64">
        <f t="shared" ref="D13:D16" si="1">C13</f>
        <v>308000</v>
      </c>
    </row>
    <row r="14" spans="2:5" x14ac:dyDescent="0.25">
      <c r="B14" s="8" t="s">
        <v>168</v>
      </c>
      <c r="C14" s="13">
        <f>SUMIF('Estimate Breakdown'!A4:A73, 11,'Estimate Breakdown'!I4:I73)</f>
        <v>227562.5</v>
      </c>
      <c r="D14" s="64">
        <f t="shared" si="1"/>
        <v>227562.5</v>
      </c>
    </row>
    <row r="15" spans="2:5" x14ac:dyDescent="0.25">
      <c r="B15" s="8" t="s">
        <v>169</v>
      </c>
      <c r="C15" s="13">
        <f>SUM(C4:C14)</f>
        <v>7381963.120000001</v>
      </c>
      <c r="D15" s="64"/>
    </row>
    <row r="16" spans="2:5" x14ac:dyDescent="0.25">
      <c r="B16" s="8" t="s">
        <v>170</v>
      </c>
      <c r="C16" s="13">
        <f>SUMIF('Estimate Breakdown'!A4:A73, 13,'Estimate Breakdown'!I4:I73)</f>
        <v>240000</v>
      </c>
      <c r="D16" s="64">
        <f t="shared" si="1"/>
        <v>240000</v>
      </c>
    </row>
    <row r="17" spans="2:5" x14ac:dyDescent="0.25">
      <c r="B17" s="8" t="s">
        <v>171</v>
      </c>
      <c r="C17" s="13">
        <f>C15+C16</f>
        <v>7621963.120000001</v>
      </c>
      <c r="D17" s="64"/>
    </row>
    <row r="18" spans="2:5" x14ac:dyDescent="0.25">
      <c r="B18" s="8" t="s">
        <v>172</v>
      </c>
      <c r="C18" s="13">
        <v>0</v>
      </c>
      <c r="D18" s="64"/>
    </row>
    <row r="19" spans="2:5" ht="15.75" thickBot="1" x14ac:dyDescent="0.3">
      <c r="B19" s="9" t="s">
        <v>173</v>
      </c>
      <c r="C19" s="15">
        <f>C17-C18</f>
        <v>7621963.120000001</v>
      </c>
      <c r="D19" s="65">
        <f>SUM(D4:D18)</f>
        <v>5495802.6000000006</v>
      </c>
      <c r="E19" s="61">
        <f>SUM(E4:E18)</f>
        <v>2126160.5200000005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6" sqref="B6"/>
    </sheetView>
  </sheetViews>
  <sheetFormatPr defaultRowHeight="15" x14ac:dyDescent="0.25"/>
  <cols>
    <col min="2" max="2" width="45.28515625" bestFit="1" customWidth="1"/>
    <col min="3" max="3" width="15.28515625" bestFit="1" customWidth="1"/>
    <col min="4" max="5" width="20.5703125" hidden="1" customWidth="1"/>
  </cols>
  <sheetData>
    <row r="1" spans="2:5" ht="15.75" thickBot="1" x14ac:dyDescent="0.3"/>
    <row r="2" spans="2:5" ht="15.75" thickBot="1" x14ac:dyDescent="0.3">
      <c r="B2" s="82" t="s">
        <v>203</v>
      </c>
      <c r="C2" s="83"/>
    </row>
    <row r="3" spans="2:5" ht="15.75" thickBot="1" x14ac:dyDescent="0.3">
      <c r="B3" s="11" t="s">
        <v>157</v>
      </c>
      <c r="C3" s="5" t="s">
        <v>158</v>
      </c>
      <c r="D3" s="63" t="s">
        <v>192</v>
      </c>
      <c r="E3" t="s">
        <v>193</v>
      </c>
    </row>
    <row r="4" spans="2:5" x14ac:dyDescent="0.25">
      <c r="B4" s="10" t="s">
        <v>159</v>
      </c>
      <c r="C4" s="12">
        <v>200000</v>
      </c>
      <c r="D4" s="64"/>
      <c r="E4" s="61">
        <f>C4</f>
        <v>200000</v>
      </c>
    </row>
    <row r="5" spans="2:5" x14ac:dyDescent="0.25">
      <c r="B5" s="8" t="s">
        <v>201</v>
      </c>
      <c r="C5" s="13">
        <v>500000</v>
      </c>
      <c r="D5" s="64"/>
      <c r="E5" s="61">
        <f t="shared" ref="E5:E9" si="0">C5</f>
        <v>500000</v>
      </c>
    </row>
    <row r="6" spans="2:5" x14ac:dyDescent="0.25">
      <c r="B6" s="8" t="s">
        <v>160</v>
      </c>
      <c r="C6" s="13">
        <v>100000</v>
      </c>
      <c r="D6" s="64"/>
      <c r="E6" s="61">
        <f t="shared" si="0"/>
        <v>100000</v>
      </c>
    </row>
    <row r="7" spans="2:5" x14ac:dyDescent="0.25">
      <c r="B7" s="8" t="s">
        <v>161</v>
      </c>
      <c r="C7" s="13">
        <v>900000</v>
      </c>
      <c r="D7" s="64"/>
      <c r="E7" s="61">
        <f t="shared" si="0"/>
        <v>900000</v>
      </c>
    </row>
    <row r="8" spans="2:5" x14ac:dyDescent="0.25">
      <c r="B8" s="8" t="s">
        <v>162</v>
      </c>
      <c r="C8" s="13">
        <f>SUMIF('Estimate Breakdown'!A4:A73, 5,'Estimate Breakdown'!K4:K73)+600000</f>
        <v>600000</v>
      </c>
      <c r="D8" s="64"/>
      <c r="E8" s="61">
        <f t="shared" si="0"/>
        <v>600000</v>
      </c>
    </row>
    <row r="9" spans="2:5" x14ac:dyDescent="0.25">
      <c r="B9" s="8" t="s">
        <v>163</v>
      </c>
      <c r="C9" s="13">
        <f>0.2*SUM(C10:C14)</f>
        <v>1230640.9099999999</v>
      </c>
      <c r="D9" s="64"/>
      <c r="E9" s="61">
        <f t="shared" si="0"/>
        <v>1230640.9099999999</v>
      </c>
    </row>
    <row r="10" spans="2:5" x14ac:dyDescent="0.25">
      <c r="B10" s="8" t="s">
        <v>164</v>
      </c>
      <c r="C10" s="13">
        <f>SUMIF('Estimate Breakdown'!A4:A73, 7,'Estimate Breakdown'!K4:K73)</f>
        <v>178150</v>
      </c>
      <c r="D10" s="64">
        <f>C10</f>
        <v>178150</v>
      </c>
    </row>
    <row r="11" spans="2:5" x14ac:dyDescent="0.25">
      <c r="B11" s="8" t="s">
        <v>165</v>
      </c>
      <c r="C11" s="13">
        <f>SUMIF('Estimate Breakdown'!A4:A73, 8,'Estimate Breakdown'!K4:K73)</f>
        <v>200270</v>
      </c>
      <c r="D11" s="64">
        <f>C11</f>
        <v>200270</v>
      </c>
    </row>
    <row r="12" spans="2:5" x14ac:dyDescent="0.25">
      <c r="B12" s="8" t="s">
        <v>166</v>
      </c>
      <c r="C12" s="13">
        <f>SUMIF('Estimate Breakdown'!A4:A73, 9,'Estimate Breakdown'!K4:K73)</f>
        <v>5143784.55</v>
      </c>
      <c r="D12" s="64">
        <f>C12</f>
        <v>5143784.55</v>
      </c>
    </row>
    <row r="13" spans="2:5" x14ac:dyDescent="0.25">
      <c r="B13" s="8" t="s">
        <v>167</v>
      </c>
      <c r="C13" s="13">
        <f>SUMIF('Estimate Breakdown'!A4:A73, 10,'Estimate Breakdown'!K4:K73)</f>
        <v>378000</v>
      </c>
      <c r="D13" s="64">
        <f t="shared" ref="D13:D16" si="1">C13</f>
        <v>378000</v>
      </c>
    </row>
    <row r="14" spans="2:5" x14ac:dyDescent="0.25">
      <c r="B14" s="8" t="s">
        <v>168</v>
      </c>
      <c r="C14" s="13">
        <f>SUMIF('Estimate Breakdown'!A4:A73, 11,'Estimate Breakdown'!K4:K73)</f>
        <v>253000</v>
      </c>
      <c r="D14" s="64">
        <f t="shared" si="1"/>
        <v>253000</v>
      </c>
    </row>
    <row r="15" spans="2:5" x14ac:dyDescent="0.25">
      <c r="B15" s="8" t="s">
        <v>169</v>
      </c>
      <c r="C15" s="13">
        <f>SUM(C4:C14)</f>
        <v>9683845.4600000009</v>
      </c>
      <c r="D15" s="64"/>
    </row>
    <row r="16" spans="2:5" x14ac:dyDescent="0.25">
      <c r="B16" s="8" t="s">
        <v>170</v>
      </c>
      <c r="C16" s="13">
        <f>SUMIF('Estimate Breakdown'!A4:A73, 13,'Estimate Breakdown'!K4:K73)</f>
        <v>720000</v>
      </c>
      <c r="D16" s="64">
        <f t="shared" si="1"/>
        <v>720000</v>
      </c>
    </row>
    <row r="17" spans="2:5" x14ac:dyDescent="0.25">
      <c r="B17" s="8" t="s">
        <v>171</v>
      </c>
      <c r="C17" s="13">
        <f>C15+C16</f>
        <v>10403845.460000001</v>
      </c>
      <c r="D17" s="64"/>
    </row>
    <row r="18" spans="2:5" x14ac:dyDescent="0.25">
      <c r="B18" s="8" t="s">
        <v>172</v>
      </c>
      <c r="C18" s="13">
        <v>0</v>
      </c>
      <c r="D18" s="64"/>
    </row>
    <row r="19" spans="2:5" ht="15.75" thickBot="1" x14ac:dyDescent="0.3">
      <c r="B19" s="9" t="s">
        <v>173</v>
      </c>
      <c r="C19" s="15">
        <f>C17-C18</f>
        <v>10403845.460000001</v>
      </c>
      <c r="D19" s="65">
        <f>SUM(D4:D18)</f>
        <v>6873204.5499999998</v>
      </c>
      <c r="E19" s="61">
        <f>SUM(E4:E18)</f>
        <v>3530640.91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E2" sqref="E2:I2"/>
    </sheetView>
  </sheetViews>
  <sheetFormatPr defaultRowHeight="15" x14ac:dyDescent="0.25"/>
  <cols>
    <col min="2" max="2" width="46.28515625" customWidth="1"/>
    <col min="3" max="3" width="16" bestFit="1" customWidth="1"/>
    <col min="4" max="4" width="16.42578125" customWidth="1"/>
    <col min="5" max="5" width="20.85546875" customWidth="1"/>
    <col min="6" max="6" width="22.28515625" customWidth="1"/>
    <col min="7" max="9" width="16.7109375" customWidth="1"/>
    <col min="11" max="11" width="15.140625" customWidth="1"/>
  </cols>
  <sheetData>
    <row r="1" spans="2:11" ht="15.75" thickBot="1" x14ac:dyDescent="0.3"/>
    <row r="2" spans="2:11" ht="45.75" thickBot="1" x14ac:dyDescent="0.3">
      <c r="B2" s="82" t="s">
        <v>200</v>
      </c>
      <c r="C2" s="83"/>
      <c r="E2" s="95" t="s">
        <v>190</v>
      </c>
      <c r="F2" s="96" t="s">
        <v>195</v>
      </c>
      <c r="G2" s="97" t="s">
        <v>196</v>
      </c>
      <c r="H2" s="98" t="s">
        <v>197</v>
      </c>
      <c r="I2" s="99" t="s">
        <v>198</v>
      </c>
    </row>
    <row r="3" spans="2:11" ht="15.75" thickBot="1" x14ac:dyDescent="0.3">
      <c r="B3" s="11" t="s">
        <v>157</v>
      </c>
      <c r="C3" s="5" t="s">
        <v>158</v>
      </c>
    </row>
    <row r="4" spans="2:11" x14ac:dyDescent="0.25">
      <c r="B4" s="10" t="s">
        <v>159</v>
      </c>
      <c r="C4" s="67">
        <v>100000</v>
      </c>
      <c r="D4" s="66"/>
      <c r="E4" s="87">
        <f>'Budget Info Snow West'!C4+'Budget Info Snow Center'!C4+'Budget Info Victor Creek'!C4</f>
        <v>350000</v>
      </c>
      <c r="F4" s="87">
        <f>E4-C4</f>
        <v>250000</v>
      </c>
      <c r="G4" s="87">
        <f>'Budget Info Snow West'!C4/E4*F4</f>
        <v>35714.28571428571</v>
      </c>
      <c r="H4" s="87">
        <f>'Budget Info Snow Center'!C4/E4*F4</f>
        <v>71428.57142857142</v>
      </c>
      <c r="I4" s="87">
        <f>'Budget Info Victor Creek'!C4/E4*F4</f>
        <v>142857.14285714284</v>
      </c>
      <c r="K4" s="61"/>
    </row>
    <row r="5" spans="2:11" x14ac:dyDescent="0.25">
      <c r="B5" s="8" t="s">
        <v>201</v>
      </c>
      <c r="C5" s="68">
        <v>500000</v>
      </c>
      <c r="D5" s="66"/>
      <c r="E5" s="87">
        <f>'Budget Info Snow West'!C5+'Budget Info Snow Center'!C5+'Budget Info Victor Creek'!C5</f>
        <v>550000</v>
      </c>
      <c r="F5" s="87">
        <f t="shared" ref="F5:F19" si="0">E5-C5</f>
        <v>50000</v>
      </c>
      <c r="G5" s="87">
        <f>'Budget Info Snow West'!C5/E5*F5</f>
        <v>2272.727272727273</v>
      </c>
      <c r="H5" s="87">
        <f>'Budget Info Snow Center'!C5/E5*F5</f>
        <v>2272.727272727273</v>
      </c>
      <c r="I5" s="87">
        <f>'Budget Info Victor Creek'!C5/E5*F5</f>
        <v>45454.545454545456</v>
      </c>
      <c r="K5" s="61"/>
    </row>
    <row r="6" spans="2:11" x14ac:dyDescent="0.25">
      <c r="B6" s="8" t="s">
        <v>160</v>
      </c>
      <c r="C6" s="68">
        <v>100000</v>
      </c>
      <c r="D6" s="66"/>
      <c r="E6" s="87">
        <f>'Budget Info Snow West'!C6+'Budget Info Snow Center'!C6+'Budget Info Victor Creek'!C6</f>
        <v>100000</v>
      </c>
      <c r="F6" s="87">
        <f t="shared" si="0"/>
        <v>0</v>
      </c>
      <c r="G6" s="87">
        <f>'Budget Info Snow West'!C6/E6*F6</f>
        <v>0</v>
      </c>
      <c r="H6" s="87">
        <f>'Budget Info Snow Center'!C6/E6*F6</f>
        <v>0</v>
      </c>
      <c r="I6" s="87">
        <f>'Budget Info Victor Creek'!C6/E6*F6</f>
        <v>0</v>
      </c>
      <c r="K6" s="61"/>
    </row>
    <row r="7" spans="2:11" x14ac:dyDescent="0.25">
      <c r="B7" s="8" t="s">
        <v>161</v>
      </c>
      <c r="C7" s="68">
        <v>1150000</v>
      </c>
      <c r="D7" s="66"/>
      <c r="E7" s="87">
        <f>'Budget Info Snow West'!C7+'Budget Info Snow Center'!C7+'Budget Info Victor Creek'!C7</f>
        <v>1900000</v>
      </c>
      <c r="F7" s="87">
        <f t="shared" si="0"/>
        <v>750000</v>
      </c>
      <c r="G7" s="87">
        <f>'Budget Info Snow West'!C7/E7*F7</f>
        <v>157894.73684210525</v>
      </c>
      <c r="H7" s="87">
        <f>'Budget Info Snow Center'!C7/E7*F7</f>
        <v>236842.10526315789</v>
      </c>
      <c r="I7" s="87">
        <f>'Budget Info Victor Creek'!C7/E7*F7</f>
        <v>355263.1578947368</v>
      </c>
      <c r="K7" s="61"/>
    </row>
    <row r="8" spans="2:11" x14ac:dyDescent="0.25">
      <c r="B8" s="8" t="s">
        <v>162</v>
      </c>
      <c r="C8" s="68">
        <f>SUMIF('Estimate Breakdown'!A4:A73, 5,'Estimate Breakdown'!N4:N73)+600000</f>
        <v>600000</v>
      </c>
      <c r="D8" s="66"/>
      <c r="E8" s="87">
        <f>'Budget Info Snow West'!C8+'Budget Info Snow Center'!C8+'Budget Info Victor Creek'!C8</f>
        <v>1100000</v>
      </c>
      <c r="F8" s="87">
        <f t="shared" si="0"/>
        <v>500000</v>
      </c>
      <c r="G8" s="87">
        <f>'Budget Info Snow West'!C8/E8*F8</f>
        <v>68181.818181818177</v>
      </c>
      <c r="H8" s="87">
        <f>'Budget Info Snow Center'!C8/E8*F8</f>
        <v>159090.90909090909</v>
      </c>
      <c r="I8" s="87">
        <f>'Budget Info Victor Creek'!C8/E8*F8</f>
        <v>272727.27272727271</v>
      </c>
      <c r="K8" s="61"/>
    </row>
    <row r="9" spans="2:11" x14ac:dyDescent="0.25">
      <c r="B9" s="8" t="s">
        <v>163</v>
      </c>
      <c r="C9" s="68">
        <f>0.15*SUM(C10:C14)</f>
        <v>1800849.6075000002</v>
      </c>
      <c r="D9" s="66"/>
      <c r="E9" s="87">
        <f>'Budget Info Snow West'!C9+'Budget Info Snow Center'!C9+'Budget Info Victor Creek'!C9</f>
        <v>2646866.89</v>
      </c>
      <c r="F9" s="87">
        <f t="shared" si="0"/>
        <v>846017.28249999997</v>
      </c>
      <c r="G9" s="87">
        <f>'Budget Info Snow West'!C9/E9*F9</f>
        <v>116685.76518549917</v>
      </c>
      <c r="H9" s="87">
        <f>'Budget Info Snow Center'!C9/E9*F9</f>
        <v>335982.12662733748</v>
      </c>
      <c r="I9" s="87">
        <f>'Budget Info Victor Creek'!C9/E9*F9</f>
        <v>393349.39068716334</v>
      </c>
      <c r="K9" s="61"/>
    </row>
    <row r="10" spans="2:11" x14ac:dyDescent="0.25">
      <c r="B10" s="8" t="s">
        <v>164</v>
      </c>
      <c r="C10" s="68">
        <f>SUMIF('Estimate Breakdown'!A4:A73, 7,'Estimate Breakdown'!N4:N73)</f>
        <v>396765</v>
      </c>
      <c r="D10" s="66"/>
      <c r="E10" s="87">
        <f>'Budget Info Snow West'!C10+'Budget Info Snow Center'!C10+'Budget Info Victor Creek'!C10</f>
        <v>426445</v>
      </c>
      <c r="F10" s="87">
        <f t="shared" si="0"/>
        <v>29680</v>
      </c>
      <c r="G10" s="87">
        <f>'Budget Info Snow West'!C10/E10*F10</f>
        <v>11042.175192580522</v>
      </c>
      <c r="H10" s="87">
        <f>'Budget Info Snow Center'!C10/E10*F10</f>
        <v>6238.8237639085937</v>
      </c>
      <c r="I10" s="87">
        <f>'Budget Info Victor Creek'!C10/E10*F10</f>
        <v>12399.001043510887</v>
      </c>
      <c r="K10" s="61"/>
    </row>
    <row r="11" spans="2:11" x14ac:dyDescent="0.25">
      <c r="B11" s="8" t="s">
        <v>165</v>
      </c>
      <c r="C11" s="68">
        <f>SUMIF('Estimate Breakdown'!A4:A73, 8,'Estimate Breakdown'!N4:N73)</f>
        <v>204100</v>
      </c>
      <c r="D11" s="66"/>
      <c r="E11" s="87">
        <f>'Budget Info Snow West'!C11+'Budget Info Snow Center'!C11+'Budget Info Victor Creek'!C11</f>
        <v>207215</v>
      </c>
      <c r="F11" s="87">
        <f t="shared" si="0"/>
        <v>3115</v>
      </c>
      <c r="G11" s="87">
        <f>'Budget Info Snow West'!C11/E11*F11</f>
        <v>51.712472552662696</v>
      </c>
      <c r="H11" s="87">
        <f>'Budget Info Snow Center'!C11/E11*F11</f>
        <v>52.689597760779868</v>
      </c>
      <c r="I11" s="87">
        <f>'Budget Info Victor Creek'!C11/E11*F11</f>
        <v>3010.5979296865576</v>
      </c>
      <c r="K11" s="61"/>
    </row>
    <row r="12" spans="2:11" x14ac:dyDescent="0.25">
      <c r="B12" s="8" t="s">
        <v>166</v>
      </c>
      <c r="C12" s="68">
        <f>SUMIF('Estimate Breakdown'!A4:A73, 9,'Estimate Breakdown'!N4:N73)</f>
        <v>10695986.550000001</v>
      </c>
      <c r="D12" s="66"/>
      <c r="E12" s="87">
        <f>'Budget Info Snow West'!C12+'Budget Info Snow Center'!C12+'Budget Info Victor Creek'!C12</f>
        <v>11105861.949999999</v>
      </c>
      <c r="F12" s="87">
        <f t="shared" si="0"/>
        <v>409875.39999999851</v>
      </c>
      <c r="G12" s="87">
        <f>'Budget Info Snow West'!C12/E12*F12</f>
        <v>49269.152333144033</v>
      </c>
      <c r="H12" s="87">
        <f>'Budget Info Snow Center'!C12/E12*F12</f>
        <v>170768.5962142302</v>
      </c>
      <c r="I12" s="87">
        <f>'Budget Info Victor Creek'!C12/E12*F12</f>
        <v>189837.6514526243</v>
      </c>
      <c r="K12" s="61"/>
    </row>
    <row r="13" spans="2:11" x14ac:dyDescent="0.25">
      <c r="B13" s="8" t="s">
        <v>167</v>
      </c>
      <c r="C13" s="68">
        <f>SUMIF('Estimate Breakdown'!A4:A73, 10,'Estimate Breakdown'!N4:N73)</f>
        <v>413000</v>
      </c>
      <c r="D13" s="66"/>
      <c r="E13" s="87">
        <f>'Budget Info Snow West'!C13+'Budget Info Snow Center'!C13+'Budget Info Victor Creek'!C13</f>
        <v>844000</v>
      </c>
      <c r="F13" s="87">
        <f t="shared" si="0"/>
        <v>431000</v>
      </c>
      <c r="G13" s="87">
        <f>'Budget Info Snow West'!C13/E13*F13</f>
        <v>80684.834123222739</v>
      </c>
      <c r="H13" s="87">
        <f>'Budget Info Snow Center'!C13/E13*F13</f>
        <v>157284.36018957346</v>
      </c>
      <c r="I13" s="87">
        <f>'Budget Info Victor Creek'!C13/E13*F13</f>
        <v>193030.8056872038</v>
      </c>
      <c r="K13" s="61"/>
    </row>
    <row r="14" spans="2:11" x14ac:dyDescent="0.25">
      <c r="B14" s="8" t="s">
        <v>168</v>
      </c>
      <c r="C14" s="68">
        <f>SUMIF('Estimate Breakdown'!A4:A73, 11,'Estimate Breakdown'!N4:N73)</f>
        <v>295812.5</v>
      </c>
      <c r="D14" s="66"/>
      <c r="E14" s="87">
        <f>'Budget Info Snow West'!C14+'Budget Info Snow Center'!C14+'Budget Info Victor Creek'!C14</f>
        <v>650812.5</v>
      </c>
      <c r="F14" s="87">
        <f t="shared" si="0"/>
        <v>355000</v>
      </c>
      <c r="G14" s="87">
        <f>'Budget Info Snow West'!C14/E14*F14</f>
        <v>92866.609046384328</v>
      </c>
      <c r="H14" s="87">
        <f>'Budget Info Snow Center'!C14/E14*F14</f>
        <v>124128.97339863631</v>
      </c>
      <c r="I14" s="87">
        <f>'Budget Info Victor Creek'!C14/E14*F14</f>
        <v>138004.41755497936</v>
      </c>
      <c r="K14" s="61"/>
    </row>
    <row r="15" spans="2:11" x14ac:dyDescent="0.25">
      <c r="B15" s="8" t="s">
        <v>169</v>
      </c>
      <c r="C15" s="68">
        <f>SUM(C4:C14)</f>
        <v>16256513.657500001</v>
      </c>
      <c r="D15" s="66"/>
      <c r="E15" s="87">
        <f>'Budget Info Snow West'!C15+'Budget Info Snow Center'!C15+'Budget Info Victor Creek'!C15</f>
        <v>19881201.340000004</v>
      </c>
      <c r="F15" s="87">
        <f t="shared" si="0"/>
        <v>3624687.6825000029</v>
      </c>
      <c r="G15" s="87">
        <f>SUM(G4:G14)</f>
        <v>614663.81636431976</v>
      </c>
      <c r="H15" s="87">
        <f t="shared" ref="H15:I15" si="1">SUM(H4:H14)</f>
        <v>1264089.8828468125</v>
      </c>
      <c r="I15" s="87">
        <f t="shared" si="1"/>
        <v>1745933.983288866</v>
      </c>
      <c r="K15" s="61"/>
    </row>
    <row r="16" spans="2:11" x14ac:dyDescent="0.25">
      <c r="B16" s="8" t="s">
        <v>170</v>
      </c>
      <c r="C16" s="68">
        <f>SUMIF('Estimate Breakdown'!A4:A73, 13,'Estimate Breakdown'!N4:N73)</f>
        <v>1200000</v>
      </c>
      <c r="D16" s="66"/>
      <c r="E16" s="87">
        <f>'Budget Info Snow West'!C16+'Budget Info Snow Center'!C16+'Budget Info Victor Creek'!C16</f>
        <v>1200000</v>
      </c>
      <c r="F16" s="87">
        <f t="shared" si="0"/>
        <v>0</v>
      </c>
      <c r="G16" s="87">
        <f>'Budget Info Snow West'!C16/E16*F16</f>
        <v>0</v>
      </c>
      <c r="H16" s="87">
        <f>'Budget Info Snow Center'!C16/E16*F16</f>
        <v>0</v>
      </c>
      <c r="I16" s="87">
        <f>'Budget Info Victor Creek'!C16/E16*F16</f>
        <v>0</v>
      </c>
      <c r="K16" s="61"/>
    </row>
    <row r="17" spans="2:11" x14ac:dyDescent="0.25">
      <c r="B17" s="8" t="s">
        <v>171</v>
      </c>
      <c r="C17" s="68">
        <f>C15+C16</f>
        <v>17456513.657499999</v>
      </c>
      <c r="D17" s="66"/>
      <c r="E17" s="87">
        <f>'Budget Info Snow West'!C17+'Budget Info Snow Center'!C17+'Budget Info Victor Creek'!C17</f>
        <v>21081201.340000004</v>
      </c>
      <c r="F17" s="87">
        <f t="shared" si="0"/>
        <v>3624687.6825000048</v>
      </c>
      <c r="G17" s="87">
        <f>G15+G16</f>
        <v>614663.81636431976</v>
      </c>
      <c r="H17" s="87">
        <f t="shared" ref="H17:I17" si="2">H15+H16</f>
        <v>1264089.8828468125</v>
      </c>
      <c r="I17" s="87">
        <f t="shared" si="2"/>
        <v>1745933.983288866</v>
      </c>
      <c r="K17" s="61"/>
    </row>
    <row r="18" spans="2:11" x14ac:dyDescent="0.25">
      <c r="B18" s="8" t="s">
        <v>172</v>
      </c>
      <c r="C18" s="68">
        <v>0</v>
      </c>
      <c r="D18" s="66"/>
      <c r="E18" s="87">
        <f>'Budget Info Snow West'!C18+'Budget Info Snow Center'!C18+'Budget Info Victor Creek'!C18</f>
        <v>0</v>
      </c>
      <c r="F18" s="87">
        <f t="shared" si="0"/>
        <v>0</v>
      </c>
    </row>
    <row r="19" spans="2:11" ht="15.75" thickBot="1" x14ac:dyDescent="0.3">
      <c r="B19" s="9" t="s">
        <v>173</v>
      </c>
      <c r="C19" s="69">
        <f>C17-C18</f>
        <v>17456513.657499999</v>
      </c>
      <c r="D19" s="66"/>
      <c r="E19" s="87">
        <f>'Budget Info Snow West'!C19+'Budget Info Snow Center'!C19+'Budget Info Victor Creek'!C19</f>
        <v>21081201.340000004</v>
      </c>
      <c r="F19" s="87">
        <f t="shared" si="0"/>
        <v>3624687.6825000048</v>
      </c>
      <c r="G19" s="61"/>
      <c r="H19" s="61"/>
      <c r="I19" s="61"/>
    </row>
    <row r="20" spans="2:11" ht="15.75" thickBot="1" x14ac:dyDescent="0.3">
      <c r="C20" s="66"/>
      <c r="D20" s="66"/>
    </row>
    <row r="21" spans="2:11" ht="15.75" thickBot="1" x14ac:dyDescent="0.3">
      <c r="B21" s="4" t="s">
        <v>178</v>
      </c>
      <c r="C21" s="88" t="s">
        <v>158</v>
      </c>
      <c r="D21" s="86" t="s">
        <v>194</v>
      </c>
      <c r="F21" s="61"/>
      <c r="G21" s="61"/>
    </row>
    <row r="22" spans="2:11" x14ac:dyDescent="0.25">
      <c r="B22" s="10" t="s">
        <v>176</v>
      </c>
      <c r="C22" s="89">
        <f>'Budget Info Snow West'!C19</f>
        <v>3055392.76</v>
      </c>
      <c r="D22" s="94">
        <f>C22-G17</f>
        <v>2440728.9436356798</v>
      </c>
    </row>
    <row r="23" spans="2:11" x14ac:dyDescent="0.25">
      <c r="B23" s="8" t="s">
        <v>199</v>
      </c>
      <c r="C23" s="90">
        <f>'Budget Info Snow Center'!C19</f>
        <v>7621963.120000001</v>
      </c>
      <c r="D23" s="92">
        <f>C23-H17</f>
        <v>6357873.2371531883</v>
      </c>
    </row>
    <row r="24" spans="2:11" x14ac:dyDescent="0.25">
      <c r="B24" s="8" t="s">
        <v>177</v>
      </c>
      <c r="C24" s="90">
        <f>'Budget Info Victor Creek'!C19</f>
        <v>10403845.460000001</v>
      </c>
      <c r="D24" s="92">
        <f>C24-I17</f>
        <v>8657911.4767111354</v>
      </c>
    </row>
    <row r="25" spans="2:11" ht="15.75" thickBot="1" x14ac:dyDescent="0.3">
      <c r="B25" s="9" t="s">
        <v>202</v>
      </c>
      <c r="C25" s="91">
        <f>SUM(C22:C24)</f>
        <v>21081201.340000004</v>
      </c>
      <c r="D25" s="93">
        <f>SUM(D22:D24)</f>
        <v>17456513.657500003</v>
      </c>
    </row>
    <row r="26" spans="2:11" ht="15.75" thickBot="1" x14ac:dyDescent="0.3">
      <c r="C26" s="66"/>
      <c r="D26" s="66"/>
    </row>
    <row r="27" spans="2:11" ht="15.75" thickBot="1" x14ac:dyDescent="0.3">
      <c r="B27" s="4" t="s">
        <v>178</v>
      </c>
      <c r="C27" s="70" t="s">
        <v>158</v>
      </c>
      <c r="D27" s="66"/>
    </row>
    <row r="28" spans="2:11" x14ac:dyDescent="0.25">
      <c r="B28" s="8" t="s">
        <v>179</v>
      </c>
      <c r="C28" s="68">
        <f>SUM(C22:C24)</f>
        <v>21081201.340000004</v>
      </c>
      <c r="D28" s="66"/>
    </row>
    <row r="29" spans="2:11" x14ac:dyDescent="0.25">
      <c r="B29" s="35" t="s">
        <v>180</v>
      </c>
      <c r="C29" s="71">
        <f>C19</f>
        <v>17456513.657499999</v>
      </c>
      <c r="D29" s="66"/>
    </row>
    <row r="30" spans="2:11" ht="15.75" thickBot="1" x14ac:dyDescent="0.3">
      <c r="B30" s="9" t="s">
        <v>181</v>
      </c>
      <c r="C30" s="72">
        <f>C28-C29</f>
        <v>3624687.6825000048</v>
      </c>
      <c r="D30" s="66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Estimate Breakdown</vt:lpstr>
      <vt:lpstr>Budget Info Snow West</vt:lpstr>
      <vt:lpstr>Budget Info Snow Center</vt:lpstr>
      <vt:lpstr>Budget Info Victor Creek</vt:lpstr>
      <vt:lpstr>Budget Info Combined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Zack D (DOT)</dc:creator>
  <cp:lastModifiedBy>Mary F. McRae</cp:lastModifiedBy>
  <cp:lastPrinted>2018-09-27T17:49:06Z</cp:lastPrinted>
  <dcterms:created xsi:type="dcterms:W3CDTF">2018-09-25T19:28:33Z</dcterms:created>
  <dcterms:modified xsi:type="dcterms:W3CDTF">2018-12-02T19:16:39Z</dcterms:modified>
</cp:coreProperties>
</file>